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870" activeTab="0"/>
  </bookViews>
  <sheets>
    <sheet name="Річний план общ" sheetId="1" r:id="rId1"/>
    <sheet name="Річний план Копиленка" sheetId="2" state="hidden" r:id="rId2"/>
    <sheet name="Річний план без Копиленка" sheetId="3" state="hidden" r:id="rId3"/>
    <sheet name="Виробництво 3" sheetId="4" state="hidden" r:id="rId4"/>
    <sheet name="Транспортування 4" sheetId="5" state="hidden" r:id="rId5"/>
    <sheet name="Постачання 5" sheetId="6" state="hidden" r:id="rId6"/>
    <sheet name="Лист1" sheetId="7" state="hidden" r:id="rId7"/>
    <sheet name="Тариф на теплову енергію 6" sheetId="8" state="hidden" r:id="rId8"/>
    <sheet name="Паливо заг." sheetId="9" r:id="rId9"/>
    <sheet name="Паливо без Копиленка" sheetId="10" state="hidden" r:id="rId10"/>
    <sheet name="Паливо Копиленка" sheetId="11" state="hidden" r:id="rId11"/>
    <sheet name="електроенергія загальна" sheetId="12" state="hidden" r:id="rId12"/>
    <sheet name="електроенергія КОПИЛЕНКА" sheetId="13" state="hidden" r:id="rId13"/>
    <sheet name="електроенергія без КОПИЛЕНКа" sheetId="14" state="hidden" r:id="rId14"/>
    <sheet name="Загальна характеристика 9" sheetId="15" state="hidden" r:id="rId15"/>
    <sheet name="титул лист" sheetId="16" r:id="rId16"/>
    <sheet name="2-х ставковий тариф 10" sheetId="17" state="hidden" r:id="rId17"/>
  </sheets>
  <externalReferences>
    <externalReference r:id="rId20"/>
  </externalReferences>
  <definedNames>
    <definedName name="_xlnm.Print_Area" localSheetId="0">'Річний план общ'!$A$1:$R$53</definedName>
  </definedNames>
  <calcPr fullCalcOnLoad="1"/>
</workbook>
</file>

<file path=xl/sharedStrings.xml><?xml version="1.0" encoding="utf-8"?>
<sst xmlns="http://schemas.openxmlformats.org/spreadsheetml/2006/main" count="2114" uniqueCount="522">
  <si>
    <t>М.П.</t>
  </si>
  <si>
    <t>№ з/п</t>
  </si>
  <si>
    <t>Показники</t>
  </si>
  <si>
    <t>Одиниці виміру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</si>
  <si>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</si>
  <si>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</si>
  <si>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</si>
  <si>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</si>
  <si>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</si>
  <si>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</si>
  <si>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</si>
  <si>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</si>
  <si>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</si>
  <si>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</si>
  <si>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</si>
  <si>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</si>
  <si>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</si>
  <si>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Відпуск теплової енергії з колекторів власних генеруючих джерел,  усього, у т.ч.:</t>
  </si>
  <si>
    <t>Гкал</t>
  </si>
  <si>
    <t>1.1</t>
  </si>
  <si>
    <t>1.2</t>
  </si>
  <si>
    <t>Котельні</t>
  </si>
  <si>
    <t>2.1</t>
  </si>
  <si>
    <t>Покупна теплова енергія (розшифрувати за назвами виробників)</t>
  </si>
  <si>
    <t>2.2</t>
  </si>
  <si>
    <t>%</t>
  </si>
  <si>
    <t>4.1</t>
  </si>
  <si>
    <t>5.1</t>
  </si>
  <si>
    <t>Теплова енергія інших власників (розшифрувати за назвами власників)</t>
  </si>
  <si>
    <t>5.2</t>
  </si>
  <si>
    <t>5.3</t>
  </si>
  <si>
    <t>5.3.1</t>
  </si>
  <si>
    <t>населення:</t>
  </si>
  <si>
    <t>5.3.2</t>
  </si>
  <si>
    <t>5.3.3</t>
  </si>
  <si>
    <t>інших споживачів:</t>
  </si>
  <si>
    <t>Гкал/год</t>
  </si>
  <si>
    <t>6.1</t>
  </si>
  <si>
    <t>населення</t>
  </si>
  <si>
    <t>6.2</t>
  </si>
  <si>
    <t>бюджетних установ</t>
  </si>
  <si>
    <t>6.3</t>
  </si>
  <si>
    <t>інших споживачів</t>
  </si>
  <si>
    <t>(підпис) (ініціали, прізвище)</t>
  </si>
  <si>
    <t xml:space="preserve">Розрахунок </t>
  </si>
  <si>
    <t>тарифів на виробництво теплової енергії</t>
  </si>
  <si>
    <t>Без ПДВ</t>
  </si>
  <si>
    <t>Одиниця виміру</t>
  </si>
  <si>
    <t>Сумарні та середньозважені показники</t>
  </si>
  <si>
    <t>Виробництво теплової енергії для потреб населення</t>
  </si>
  <si>
    <t>Виробництво теплової енергії для  потреб бюджетних установ</t>
  </si>
  <si>
    <t>Виробництво теплової енергії для  потреб інших споживачів</t>
  </si>
  <si>
    <t>Виробнича собівартість, у т.ч.:</t>
  </si>
  <si>
    <t>тис. грн</t>
  </si>
  <si>
    <t>прямі матеріальні витрати, у т.ч.:</t>
  </si>
  <si>
    <t>1.1.1</t>
  </si>
  <si>
    <t>паливо</t>
  </si>
  <si>
    <t>1.1.2</t>
  </si>
  <si>
    <t>електроенергія</t>
  </si>
  <si>
    <t>1.1.3</t>
  </si>
  <si>
    <t>покупна теплова енергія та  собівартість теплової енергії власних ТЕЦ, ТЕС, АЕС, когенераційних установок</t>
  </si>
  <si>
    <t>1.1.4</t>
  </si>
  <si>
    <t>вода для технологічних потреб та водовідведення</t>
  </si>
  <si>
    <t>1.1.5</t>
  </si>
  <si>
    <t>матеріали, запасні  частини та інші матеріальні ресурси</t>
  </si>
  <si>
    <t>прямі витрати на оплату праці</t>
  </si>
  <si>
    <t>1.3</t>
  </si>
  <si>
    <t>інші прямі витрати, у т.ч.:</t>
  </si>
  <si>
    <t>1.3.1</t>
  </si>
  <si>
    <t>відрахування 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</si>
  <si>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</si>
  <si>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</si>
  <si>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</si>
  <si>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</si>
  <si>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</si>
  <si>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1.4.1</t>
  </si>
  <si>
    <t>витрати на оплату праці</t>
  </si>
  <si>
    <t>1.4.2</t>
  </si>
  <si>
    <t>1.4.3</t>
  </si>
  <si>
    <t>інші витрати</t>
  </si>
  <si>
    <t>Адміністративні витрати, у т.ч.:</t>
  </si>
  <si>
    <t>відрахування на соціальні заходи</t>
  </si>
  <si>
    <t>2.3</t>
  </si>
  <si>
    <t>3.1</t>
  </si>
  <si>
    <t>3.2</t>
  </si>
  <si>
    <t>Інші операційні витрати*</t>
  </si>
  <si>
    <t>Фінансові витрати</t>
  </si>
  <si>
    <r>
      <t>Повна собівартість</t>
    </r>
    <r>
      <rPr>
        <vertAlign val="superscript"/>
        <sz val="10"/>
        <rFont val="Arial"/>
        <family val="2"/>
      </rPr>
      <t>*</t>
    </r>
  </si>
  <si>
    <t>Розрахунковий прибуток, усього *, у т.ч.: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</si>
  <si>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</si>
  <si>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</si>
  <si>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</si>
  <si>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</si>
  <si>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</si>
  <si>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</si>
  <si>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</si>
  <si>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</si>
  <si>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</si>
  <si>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 прибутку</t>
  </si>
  <si>
    <t>Вартість виробництва теплової енергії за відповідними тарифами</t>
  </si>
  <si>
    <t>Тарифи на виробництво теплової енергії</t>
  </si>
  <si>
    <t>грн/Гкал</t>
  </si>
  <si>
    <t>Реалізація теплової енергії власним споживачам</t>
  </si>
  <si>
    <t>одиниць</t>
  </si>
  <si>
    <t>Обсяг покупної теплової енергії</t>
  </si>
  <si>
    <t>Ціна покупної теплової енергії</t>
  </si>
  <si>
    <t>Відпуск теплової енергії з колекторів власних ТЕЦ, ТЕС, АЕС, когенераційних установок</t>
  </si>
  <si>
    <t>Собівартість у тарифах на теплову енергію власних ТЕЦ, ТЕС, АЕС, когенераційних установок</t>
  </si>
  <si>
    <t>тарифів на транспортування теплової енергії</t>
  </si>
  <si>
    <t>Усього</t>
  </si>
  <si>
    <t>базовий</t>
  </si>
  <si>
    <t>період</t>
  </si>
  <si>
    <t>Виробнича собівартість,  у тому числі:</t>
  </si>
  <si>
    <t>Прямі матеріальні витрати, у тому числі:</t>
  </si>
  <si>
    <t>транспортування  теплової енергії тепловими мережами інших підприємств</t>
  </si>
  <si>
    <t>вода для технологічних потреб  та водовідведення</t>
  </si>
  <si>
    <t>Прямі витрати на оплату праці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</si>
  <si>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</si>
  <si>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</si>
  <si>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</si>
  <si>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Інші операційні витрати *</t>
  </si>
  <si>
    <r>
      <t xml:space="preserve">Повна собівартість </t>
    </r>
    <r>
      <rPr>
        <vertAlign val="superscript"/>
        <sz val="10"/>
        <rFont val="Arial"/>
        <family val="2"/>
      </rPr>
      <t>*</t>
    </r>
  </si>
  <si>
    <t>Розрахунковий прибуток*, усього,  у тому числі:</t>
  </si>
  <si>
    <t>Вартість транспортування  теплової енергії за відповідними тарифами</t>
  </si>
  <si>
    <t>Середньозважений тариф на транспортування теплової енергії</t>
  </si>
  <si>
    <t>Обсяг надходження теплової енергії до мережі ліцензіата, у т.ч.:</t>
  </si>
  <si>
    <t>власної теплової енергії</t>
  </si>
  <si>
    <t>теплоенергії інших власників для транспортування мережами ліцензіата</t>
  </si>
  <si>
    <t>Втрати теплової енергії в мережах ліцензіата, всього, у т.ч.:</t>
  </si>
  <si>
    <t>теплової енергії інших власників</t>
  </si>
  <si>
    <t>Корисний відпуск теплової енергії з мереж ліцензіата, усього, у т.ч.:</t>
  </si>
  <si>
    <t>господарські потреби ліцензованої діяльності ліцензіата</t>
  </si>
  <si>
    <t>корисний відпуск теплової енергії інших власників</t>
  </si>
  <si>
    <t>Корисний відпуск теплової енергії власним споживачам , у т.ч. на потреби:</t>
  </si>
  <si>
    <t>Обсяг транспортування теплової енергії ліцензіата мережами іншого(их) транспортувальника(ів)</t>
  </si>
  <si>
    <t>Тариф(и) іншого(их) транспортувальника(ів)на транспортування теплової енергії</t>
  </si>
  <si>
    <t xml:space="preserve">                             Додаток 5                                                до Порядку формування тарифів на теплову енергію, її виробництво, транспортування та постачання</t>
  </si>
  <si>
    <t>тарифів на постачання теплової енергії</t>
  </si>
  <si>
    <t>Виробнича собівартість, у тому числі:</t>
  </si>
  <si>
    <t>прямі матеріальні витрати</t>
  </si>
  <si>
    <t>інші прямі витрати, у тому числі:</t>
  </si>
  <si>
    <t>Інші  операційні витрати*</t>
  </si>
  <si>
    <t>Повна собівартість*</t>
  </si>
  <si>
    <t>Розрахунковий прибуток, усього, у тому числі:</t>
  </si>
  <si>
    <t>інше використання прибутку</t>
  </si>
  <si>
    <t>Вартість постачання теплової енергії за відповідними тарифами</t>
  </si>
  <si>
    <t>Середньозважений тариф на постачання теплової енергії</t>
  </si>
  <si>
    <t>Обсяг реалізованої теплової енергії власним споживачам, у тому числі на потреби:</t>
  </si>
  <si>
    <t>10.1</t>
  </si>
  <si>
    <t>10.2</t>
  </si>
  <si>
    <t>10.3</t>
  </si>
  <si>
    <t>інших  споживачів</t>
  </si>
  <si>
    <t xml:space="preserve">                             Додаток 6                                                до Порядку формування тарифів на теплову енергію, її виробництво, транспортування та постачання</t>
  </si>
  <si>
    <t>тарифів на теплову енергію</t>
  </si>
  <si>
    <t>Найменування показника</t>
  </si>
  <si>
    <t>Сумарні та середньозва-жені показники</t>
  </si>
  <si>
    <t>На потреби споживачів:</t>
  </si>
  <si>
    <t>Тариф на виробництво теплової енергії, у т.ч.:</t>
  </si>
  <si>
    <t>повна планова собівартість виробництва теплової енергії</t>
  </si>
  <si>
    <t>плановий прибуток</t>
  </si>
  <si>
    <t>Тариф на транспортування теплової енергії , у т.ч.:</t>
  </si>
  <si>
    <t>повна планова собівартість транспортування теплової енергії</t>
  </si>
  <si>
    <t>Тариф на  постачання  теплової енергії, у т.ч.:</t>
  </si>
  <si>
    <t>повна планова  собівартість  постачання теплової енергії</t>
  </si>
  <si>
    <t>Тариф на теплову енергію, у т.ч.:</t>
  </si>
  <si>
    <t>повна планова  собівартість  теплової енергії</t>
  </si>
  <si>
    <t>4.2</t>
  </si>
  <si>
    <t>Річні планові доходи від виробництва, транспортування, постачання теплової енергії, усього, у тому числі:</t>
  </si>
  <si>
    <t>повна планова  собівартість виробництва, транспортування, постачання  теплової енергії</t>
  </si>
  <si>
    <t>плановий прибуток від виробництва, транспортування, постачання  теплової енергії</t>
  </si>
  <si>
    <t>Річні планові доходи від виробництва, транспортування, постачання теплової енергії без транспортування мережами ліцензіата теплової енергії інших власників, усього, у т.ч.:</t>
  </si>
  <si>
    <t>Плановий корисний відпуск з мереж ліцензіата теплової енергії власним споживачам та теплової енергії інших власників, у т.ч.:</t>
  </si>
  <si>
    <t>корисний відпуск теплової енергії власним споживачам</t>
  </si>
  <si>
    <t>8.1</t>
  </si>
  <si>
    <t>на виробництво теплової енергії</t>
  </si>
  <si>
    <t>8.2</t>
  </si>
  <si>
    <t>на транспортування теплової енергії</t>
  </si>
  <si>
    <t>8.3</t>
  </si>
  <si>
    <t>на постачання теплової енергії</t>
  </si>
  <si>
    <t>8.4</t>
  </si>
  <si>
    <t>на теплову енергію</t>
  </si>
  <si>
    <t>Вид палива</t>
  </si>
  <si>
    <t>Відпуск теплової енергії з колекторів, Гкал</t>
  </si>
  <si>
    <t>Витрати умовного палива, тонн</t>
  </si>
  <si>
    <t>Вартість палива, тис. грн</t>
  </si>
  <si>
    <t>Ціна 1 тонни умовного палива, грн/тонну</t>
  </si>
  <si>
    <t>Газ, у т.ч. для потреб:</t>
  </si>
  <si>
    <t>Мазут, у т.ч. для потреб:</t>
  </si>
  <si>
    <t>Вугілля, у т.ч. для потреб:</t>
  </si>
  <si>
    <t>Інше технологічне паливо, у т.ч. для потреб:</t>
  </si>
  <si>
    <t>Сумарні та середньозважені показники, у т.ч. для потреб:</t>
  </si>
  <si>
    <t>Норма питомих витрат електроенергії на виробництво теплової енергії</t>
  </si>
  <si>
    <t>Обсяг споживання активної електроенергії, усього</t>
  </si>
  <si>
    <t>тис. кВт∙год</t>
  </si>
  <si>
    <t>Тариф без ПДВ (ІІ клас напруги)</t>
  </si>
  <si>
    <t xml:space="preserve">                             Додаток 9                                                до Порядку формування тарифів на теплову енергію, її виробництво, транспортування та постачання</t>
  </si>
  <si>
    <t>ЗАГАЛЬНА ХАРАКТЕРИСТИКА</t>
  </si>
  <si>
    <t>ліцензіата з виробництва/транспортування/постачання теплової енергії</t>
  </si>
  <si>
    <t>Виробництво теплової енергії</t>
  </si>
  <si>
    <t>Встановлена потужність джерел теплопостачання (генеруючих джерел)</t>
  </si>
  <si>
    <t>Теплове навантаження об’єктів теплоспоживання власних споживачів</t>
  </si>
  <si>
    <t>Питоме використання палива (газ) до обсягу відпуску в мережу теплової енергії  з колекторів генеруючих джерел</t>
  </si>
  <si>
    <r>
      <t>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/Гкал</t>
    </r>
  </si>
  <si>
    <t>інше паливо (вказати)</t>
  </si>
  <si>
    <t>Фактичне питоме використання умовного палива на відпуск теплової енергії з колекторів генеруючих джерел</t>
  </si>
  <si>
    <t>кг у.п./Гкал</t>
  </si>
  <si>
    <t>Встановлений норматив використання умовного палива на відпуск теплової енергії з колекторів генеруючих джерел</t>
  </si>
  <si>
    <t>Обсяг виробленої теплової енергії</t>
  </si>
  <si>
    <t>Обсяг використання теплової енергії на власні потреби джерел теплопостачання (генеруючих джерел)</t>
  </si>
  <si>
    <t>Обсяг відпущеної в мережу теплової енергії з колекторів генеруючих джерел</t>
  </si>
  <si>
    <t>Середньооблікова чисельність персоналу ліцензованої діяльності</t>
  </si>
  <si>
    <t>осіб</t>
  </si>
  <si>
    <t>Середньомісячна заробітна плата персоналу ліцензованої діяльності</t>
  </si>
  <si>
    <t>грн</t>
  </si>
  <si>
    <t>Витрати на оплату праці у повній собівартості, усього</t>
  </si>
  <si>
    <t>Витрати на ремонт та інше поліпшення основних засобів у повній собівартості, усього</t>
  </si>
  <si>
    <t>12.1</t>
  </si>
  <si>
    <t>у т. ч. без заробітної плати з нарахуваннями</t>
  </si>
  <si>
    <t>Амортизаційні відрахування у повній собівартості, усього</t>
  </si>
  <si>
    <t>Витрати на електроенергію у повній собівартості, усього</t>
  </si>
  <si>
    <t>Транспортування теплової енергії</t>
  </si>
  <si>
    <t>Загальна довжина теплових мереж у двотрубному виразі станом на кінець року</t>
  </si>
  <si>
    <t>км</t>
  </si>
  <si>
    <t>Річний обсяг надходження теплової енергії в мережі ліцензіата</t>
  </si>
  <si>
    <t>Фактичні втрати теплової енергії у власних мережах:</t>
  </si>
  <si>
    <t>у %</t>
  </si>
  <si>
    <t>Нормативні втрати теплової енергії у власних мережах:</t>
  </si>
  <si>
    <t>Річний обсяг транспортування теплової енергії мережами, в т.ч.:</t>
  </si>
  <si>
    <t>власної теплової енергії мережами сторонніх підприємств</t>
  </si>
  <si>
    <t>власними тепловими мережами всього, у т.ч.:</t>
  </si>
  <si>
    <t>7.2.1</t>
  </si>
  <si>
    <t>7.2.2</t>
  </si>
  <si>
    <t>9.1</t>
  </si>
  <si>
    <t>Теплове навантаження об’єктів теплоспоживання споживачів інших власників теплової енергії, яка транспортується мережами ліцензіата, у т.ч. на потреби:</t>
  </si>
  <si>
    <t>12.2</t>
  </si>
  <si>
    <t>12.3</t>
  </si>
  <si>
    <t>Постачання теплової енергії</t>
  </si>
  <si>
    <t>Кількість споживачів (абонентів) ліцензіата всього, у т.ч.:</t>
  </si>
  <si>
    <t>населення – фізичні особи</t>
  </si>
  <si>
    <t>виконавці комунальних послуг з опалення та ГВП</t>
  </si>
  <si>
    <t>бюджетні  установи</t>
  </si>
  <si>
    <t>інші споживачі</t>
  </si>
  <si>
    <t>Річний обсяг постачання теплової енергії споживачам, у тому числі на потреби:</t>
  </si>
  <si>
    <t>населення – фізичних осіб</t>
  </si>
  <si>
    <t>4.1.1</t>
  </si>
  <si>
    <t>у тому числі, що обліковується приладами обліку</t>
  </si>
  <si>
    <t>виконавців комунальних послуг для населення з опалення та ГВП</t>
  </si>
  <si>
    <t>4.2.1</t>
  </si>
  <si>
    <t>4.3</t>
  </si>
  <si>
    <t>4.3.1</t>
  </si>
  <si>
    <t>4.3.2</t>
  </si>
  <si>
    <t>4.4</t>
  </si>
  <si>
    <r>
      <t xml:space="preserve">* </t>
    </r>
    <r>
      <rPr>
        <sz val="10"/>
        <rFont val="Arial"/>
        <family val="2"/>
      </rPr>
      <t>Заповнюється при встановленні двоставкових тарифів.</t>
    </r>
  </si>
  <si>
    <t xml:space="preserve">                             Додаток 10                                                до Порядку формування тарифів на теплову енергію, її виробництво, транспортування та постачання</t>
  </si>
  <si>
    <t>двоставкових тарифів на теплову енергію</t>
  </si>
  <si>
    <t>без ПДВ</t>
  </si>
  <si>
    <t>Найменування показників</t>
  </si>
  <si>
    <t>Сумарні та середньо-зважені показники</t>
  </si>
  <si>
    <t>Для потреб споживачів</t>
  </si>
  <si>
    <t>бюджетні установи</t>
  </si>
  <si>
    <t>Обсяг реалізації теплової енергії власним споживачам</t>
  </si>
  <si>
    <t>Повна планова собівартість виробництва теплової енергії, усього, у т.ч.:</t>
  </si>
  <si>
    <t>умовно змінні витрати, усього, у т.ч.:</t>
  </si>
  <si>
    <t>3.1.1</t>
  </si>
  <si>
    <t>витрати на технологічне паливо для виробництва теплової енергії котельнями</t>
  </si>
  <si>
    <t>3.1.2</t>
  </si>
  <si>
    <t>витрати на технологічну електроенергію для виробництва теплової енергії котельнями</t>
  </si>
  <si>
    <t>3.1.3</t>
  </si>
  <si>
    <t>покупна теплова енергія  та  собівартість теплової енергії власних ТЕЦ, ТЕС, АЕС, когенераційних установок</t>
  </si>
  <si>
    <t>умовно постійні витрати, усього – решта витрат повної планової собівартості виробництва теплової енергії</t>
  </si>
  <si>
    <t>Плановий прибуток в тарифах на виробництво теплової енергії, усього, у т.ч.:</t>
  </si>
  <si>
    <t>в умовно-змінній частині</t>
  </si>
  <si>
    <t>в умовно-постійній частині</t>
  </si>
  <si>
    <t>умовно-змінна частина двоставкового тарифу на виробництво теплової енергії, у т.ч.:</t>
  </si>
  <si>
    <t>складова собівартості (пункт 3.1/ пункт 1)</t>
  </si>
  <si>
    <t>складова прибутку (пункт 4.1/ пункт 1)</t>
  </si>
  <si>
    <t>рівень рентабельності</t>
  </si>
  <si>
    <t>Умовно-постійна частина двоставкового тарифу на виробництво теплової енергії – місячна абонентська плата на одиницю теплового навантаження, у т.ч.:</t>
  </si>
  <si>
    <t>грн/Гкал/год</t>
  </si>
  <si>
    <t>складова собівартості (пункт 3.2/ пункт 2/12)</t>
  </si>
  <si>
    <t>грн/Гкал /год</t>
  </si>
  <si>
    <t>складова прибутку (пункт 4.2/ пункт 2/12)</t>
  </si>
  <si>
    <t>грн./Гкал/год</t>
  </si>
  <si>
    <t>Теплове навантаження об’єктів теплоспоживання власних споживачів та споживачів інших власників теплової енергії, яка транспортується мережами ліцензіата</t>
  </si>
  <si>
    <t>Повна планова собівартість транспортування теплової енергії, усього – умовно-постійні витрати</t>
  </si>
  <si>
    <t>Плановий прибуток в тарифах на транспортування теплової енергії</t>
  </si>
  <si>
    <t>Місячна абонентська плата за транспортування теплової енергії на одиницю теплового навантаження, у т.ч.:</t>
  </si>
  <si>
    <t>складова собівартості (пункт 8/ пункт 7/12)</t>
  </si>
  <si>
    <t>складова прибутку (пункт 9/ пункт 7/12)</t>
  </si>
  <si>
    <t>Повна планова собівартість постачання теплової енергії, усього – умовно-постійні витрати</t>
  </si>
  <si>
    <t>Плановий прибуток в тарифах на постачання теплової енергії</t>
  </si>
  <si>
    <t>Місячна абонентська плата за постачання теплової енергії на одиницю теплового навантаження, у т.ч.:</t>
  </si>
  <si>
    <t>13.1</t>
  </si>
  <si>
    <t>складова собівартості (пункт 11/ пункт 2/12)</t>
  </si>
  <si>
    <t>13.2</t>
  </si>
  <si>
    <t>складова прибутку (пункт 12/ пункт 2/12)</t>
  </si>
  <si>
    <t>13.3</t>
  </si>
  <si>
    <t>Двоставкові тарифи на теплову енергію для кінцевих споживачів</t>
  </si>
  <si>
    <t>Умовно-змінна частина двоставкового тарифу на теплову енергію (пункт 5), у т.ч.:</t>
  </si>
  <si>
    <t>14.1</t>
  </si>
  <si>
    <t>складова собівартості (пункт 5.1)</t>
  </si>
  <si>
    <t>14.2</t>
  </si>
  <si>
    <t>складова прибутку (пункт 5.2)</t>
  </si>
  <si>
    <t>14.3</t>
  </si>
  <si>
    <t>Умовно-постійна частина двоставкового тарифу на теплову енергію – місячна абонентська плата на одиницю теплового навантаження (пункт 6 + пункт 10 + пункт 13), у т.ч.:</t>
  </si>
  <si>
    <t>15.1</t>
  </si>
  <si>
    <t>складова собівартості (пункт 6.1 + пункт 10.1+ пункт 13.1)</t>
  </si>
  <si>
    <t>15.2</t>
  </si>
  <si>
    <t>складова прибутку (пункт 6.2 + пункт 10.2 + пункт 13.2)</t>
  </si>
  <si>
    <t>15.3</t>
  </si>
  <si>
    <t>7</t>
  </si>
  <si>
    <t>11.1</t>
  </si>
  <si>
    <t>11.2</t>
  </si>
  <si>
    <t>12.3.1</t>
  </si>
  <si>
    <t>12.3.2</t>
  </si>
  <si>
    <t>12.3.3</t>
  </si>
  <si>
    <t>Рівень рентабельності тарифів:</t>
  </si>
  <si>
    <t>Виробництво</t>
  </si>
  <si>
    <t>Транпортування</t>
  </si>
  <si>
    <t>Постачання</t>
  </si>
  <si>
    <t>Разом</t>
  </si>
  <si>
    <t>Розподіл заробітної плати без збуту.</t>
  </si>
  <si>
    <t>Розподіл заробітної плати з збутом.</t>
  </si>
  <si>
    <t>Загальновиробничі витрати, у т.ч.:</t>
  </si>
  <si>
    <t xml:space="preserve">Фонд ЗП весь  </t>
  </si>
  <si>
    <r>
      <t>12</t>
    </r>
    <r>
      <rPr>
        <vertAlign val="superscript"/>
        <sz val="10"/>
        <rFont val="Arial"/>
        <family val="2"/>
      </rPr>
      <t>*</t>
    </r>
  </si>
  <si>
    <t>інші витрати( та елек.)</t>
  </si>
  <si>
    <t>Красноградське підприємство теплових мереж</t>
  </si>
  <si>
    <t xml:space="preserve">                                 </t>
  </si>
  <si>
    <t xml:space="preserve"> Красноградське підприємство теплових мереж</t>
  </si>
  <si>
    <t xml:space="preserve">                                                                                 (підпис) (ініціали, прізвище)</t>
  </si>
  <si>
    <t xml:space="preserve"> </t>
  </si>
  <si>
    <t xml:space="preserve">      Красноградське підприємство теплових мереж</t>
  </si>
  <si>
    <t>Головний бухгалтер                    Василь Іванович Машкін   т. (05744) 7-39-68</t>
  </si>
  <si>
    <t>вир постійні</t>
  </si>
  <si>
    <t>транс пост</t>
  </si>
  <si>
    <t>постач пості</t>
  </si>
  <si>
    <t>абон плата</t>
  </si>
  <si>
    <t>со счетчиком население переменніе</t>
  </si>
  <si>
    <t>абон плата круглій год для населения</t>
  </si>
  <si>
    <t>абонплата для бюджета</t>
  </si>
  <si>
    <t xml:space="preserve">                                                                       Красноградське підприємство теплових мереж</t>
  </si>
  <si>
    <t xml:space="preserve">                                                    Красноградське підприємство теплових мереж</t>
  </si>
  <si>
    <t xml:space="preserve">                                                                         (підпис) (ініціали, прізвище)</t>
  </si>
  <si>
    <t xml:space="preserve">                                                                             Керівник КПТМ ______________ В.П. Біленко</t>
  </si>
  <si>
    <t>базовий період (факт)       2018 рік</t>
  </si>
  <si>
    <t>період, попередній базовому (факт)       2017 рік</t>
  </si>
  <si>
    <t xml:space="preserve">                             Додаток 3                                                                                       до Процедури встановлення тарифів на теплову енергію, її виробництво, транспортування та постачання</t>
  </si>
  <si>
    <t xml:space="preserve">інші прямі витрати </t>
  </si>
  <si>
    <t xml:space="preserve">інші витрати </t>
  </si>
  <si>
    <t>3</t>
  </si>
  <si>
    <t>4</t>
  </si>
  <si>
    <t>5</t>
  </si>
  <si>
    <t>Витрати на покриття втрат</t>
  </si>
  <si>
    <t>6</t>
  </si>
  <si>
    <t>11</t>
  </si>
  <si>
    <t>12</t>
  </si>
  <si>
    <t>13</t>
  </si>
  <si>
    <t>14</t>
  </si>
  <si>
    <t>Керівник  КПТМ  _____________________  О.М.Сидоренко</t>
  </si>
  <si>
    <t>період, попередній до базового (факт) 2017</t>
  </si>
  <si>
    <t>(факт)   2018</t>
  </si>
  <si>
    <t>Базовий період (факт)  2018</t>
  </si>
  <si>
    <t xml:space="preserve">                                               Керівник  КПТМ ______________О.М.Сидоренко</t>
  </si>
  <si>
    <t xml:space="preserve">                                                                Керівник КПТМ  ______________ О.М.Сидоренко</t>
  </si>
  <si>
    <t xml:space="preserve">                                              Керівник  КПТМ  ______________ О.М.Сидоренко</t>
  </si>
  <si>
    <t>Період, попередній до базового (факт)   2017</t>
  </si>
  <si>
    <t>Базовий період (факт)   2018</t>
  </si>
  <si>
    <t>Передбачено діючими тарифами   2017</t>
  </si>
  <si>
    <t>Плановий період    2019</t>
  </si>
  <si>
    <t xml:space="preserve">                                     Додаток 4                                                до Порядку формування тарифів на теплову енергію, її виробництво, транспортування та постачання</t>
  </si>
  <si>
    <t>без послуг РКО</t>
  </si>
  <si>
    <t>-</t>
  </si>
  <si>
    <t>Керівник  КПТМ ______________ О.М.Сидоренко</t>
  </si>
  <si>
    <t>Красноградська районна рада</t>
  </si>
  <si>
    <t>__________________________</t>
  </si>
  <si>
    <t>Директор                                    Олександр Миколайович Сидоренко  т. (05744) 7-34-09</t>
  </si>
  <si>
    <t>Головний інженер                        Володимир Васильович Царик т. (05744) 7- 34-09</t>
  </si>
  <si>
    <t>Провідний економіст                   Ірина Володимирівна Миронова   т. (05744) 7-39-68</t>
  </si>
  <si>
    <t>Керівник  КПТМ _____________________  О.М.Сидоренко</t>
  </si>
  <si>
    <t>передбачено діючим тарифом 2019 рік</t>
  </si>
  <si>
    <t>Плановий період        2020-2021 рік</t>
  </si>
  <si>
    <t>Плановий період        2020-2021рік</t>
  </si>
  <si>
    <t>передбачено діючим тарифом   2019</t>
  </si>
  <si>
    <t>плановий  період    2020-2021</t>
  </si>
  <si>
    <t>передбачено діючим тарифом  2019</t>
  </si>
  <si>
    <t>плановий період    2020-2021</t>
  </si>
  <si>
    <t>Базовий період (факт) 2020</t>
  </si>
  <si>
    <t>Директор  Красноградського ПТМ _________________________________  О.М.Сидоренко</t>
  </si>
  <si>
    <t>Річний план    2021</t>
  </si>
  <si>
    <t>Період, що передує базовому (факт) 2019</t>
  </si>
  <si>
    <t>зокрема за місяцями</t>
  </si>
  <si>
    <t>те саме у відсотках від пункту 3</t>
  </si>
  <si>
    <t>те саме у відсотках від  пункту 2.2</t>
  </si>
  <si>
    <t>те саме у відсотках від  пункту 5.3</t>
  </si>
  <si>
    <t>те саме у відсотках від  пункту  5.3</t>
  </si>
  <si>
    <t>постачання теплової енергії, зокрема на потреби:</t>
  </si>
  <si>
    <t>7.1.2</t>
  </si>
  <si>
    <t>7.1.1</t>
  </si>
  <si>
    <t>7.1.3</t>
  </si>
  <si>
    <t xml:space="preserve">                                                                             (підпис)                                          (ініціали, прізвище)</t>
  </si>
  <si>
    <t xml:space="preserve">Додаток 7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4 пункту 3 розділу ІІ)  
</t>
  </si>
  <si>
    <t xml:space="preserve">Додаток 8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
послуги, поданих для їх встановлення (підпункт 14 пункту 3 розділу ІІ)
</t>
  </si>
  <si>
    <t xml:space="preserve">                                                   Директор Красноградського ПТМ _____________________  О.М.Сидоренко</t>
  </si>
  <si>
    <t xml:space="preserve">                                                                                                          (підпис)                      (ініціали, прізвище)</t>
  </si>
  <si>
    <t xml:space="preserve">                                                          ПОГОДЖЕНО</t>
  </si>
  <si>
    <t xml:space="preserve">                                                       ПОГОДЖЕНО</t>
  </si>
  <si>
    <t xml:space="preserve">вартості технологічного палива на виробництво теплової енергії генеруючими джерелами </t>
  </si>
  <si>
    <t>Постачання природного газу</t>
  </si>
  <si>
    <t>Транспортування природного газу</t>
  </si>
  <si>
    <t>Розподіл природного газу</t>
  </si>
  <si>
    <t>Газ всього, у т.ч. для потреб:</t>
  </si>
  <si>
    <t>обсяг2</t>
  </si>
  <si>
    <t xml:space="preserve"> обсяг1</t>
  </si>
  <si>
    <t xml:space="preserve">населення  разом                                      </t>
  </si>
  <si>
    <t>на установках з використанням джерел альтернативної енергії</t>
  </si>
  <si>
    <t>Переміщення природного газу внутрішньопромисловими трубопроводами (філія ГПУ "Шебелинкагазвидобування"АТ "Укргазвидобування")</t>
  </si>
  <si>
    <t>2</t>
  </si>
  <si>
    <t>Надходження в мережу суб'єкта господарювання теплової енергії, яка вироблена іншими виробниками, усього, у т.ч.:</t>
  </si>
  <si>
    <t>Втрати теплової енергії в теплових мережах суб'єкта господарювання, усього:</t>
  </si>
  <si>
    <t>у т.ч.  втрати в теплових мережах суб'єкта господарювання теплової енергії інших власників (розшифрувати за власниками)</t>
  </si>
  <si>
    <t>Корисний відпуск теплової енергії з мереж суб'єкта господарювання, усього, у тому числі:</t>
  </si>
  <si>
    <t>Господарські потреби ліцензованої діяльності суб'єкта господарювання</t>
  </si>
  <si>
    <t>бюджетних установ:</t>
  </si>
  <si>
    <t>Корисний відпуск теплової енергії власним  споживачам суб'єкта господарювання, усього, у т.ч. на потреби:</t>
  </si>
  <si>
    <t>Теплове навантаження об’єктів теплоспоживання власних споживачів суб'єкта господарювання, усього, у т.ч. на потреби:</t>
  </si>
  <si>
    <t>Відпуск теплової енергії суб'єкта господарювання на надання комунальних послуг споживачам, зокрема:</t>
  </si>
  <si>
    <t>1</t>
  </si>
  <si>
    <t>Надходження теплової енергії в  мережу суб'єкта господарювання, усього (пункт 2+ пункт 1)</t>
  </si>
  <si>
    <t xml:space="preserve">РІЧНИЙ ПЛАН ВИРОБНИЦТВА ТА ПОСТАЧАННЯ ТЕПЛОВОЇ ЕНЕРГІЇ САО, яка використовується  для теплозабезпечення багатоквартирного будинку за адресою: вул.Копиленка,5, м.Красноград </t>
  </si>
  <si>
    <t>Теплова енергія інших власників для транспортування мережами суб'єкта господарювання (розшифрувати власниками)</t>
  </si>
  <si>
    <t xml:space="preserve">РІЧНИЙ ПЛАН ВИРОБНИЦТВА, ТРАНСПОРТУВАННЯ ТА ПОСТАЧАННЯ ТЕПЛОВОЇ ЕНЕРГІЇ без урахування САО, яка використовується  для теплозабезпечення багатоквартирного будинку за адресою: вул.Копиленка,5, м.Красноград </t>
  </si>
  <si>
    <t xml:space="preserve">вартості технологічного палива на виробництво теплової енергії генеруючими джерелами САО, яка використовується  для теплозабезпечення багатоквартирного будинку за адресою: вул.Копиленка,5, м.Красноград </t>
  </si>
  <si>
    <t>вартості технологічного палива на виробництво теплової енергії генеруючими джерелами без урахування САО, яка використовується для теплозабезпечення багатоповерхового будинку за адресою: вул.Копиленка,5, м.Красноград</t>
  </si>
  <si>
    <r>
      <t>Калорійність натурального палива, ккал/м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, ккал/кг</t>
    </r>
  </si>
  <si>
    <r>
      <t>Витрати натурального палива, тис.м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, тонн</t>
    </r>
  </si>
  <si>
    <r>
      <t>Ціна натурального палива, грн/тис. м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, грн/ тонну</t>
    </r>
  </si>
  <si>
    <t>Норма питомих витрат умовного палива, кг у.п./ Гкал</t>
  </si>
  <si>
    <r>
      <t>Ціна натурального палива, грн/тис. м</t>
    </r>
    <r>
      <rPr>
        <b/>
        <i/>
        <vertAlign val="superscript"/>
        <sz val="10"/>
        <rFont val="Arial"/>
        <family val="2"/>
      </rPr>
      <t xml:space="preserve">3 </t>
    </r>
    <r>
      <rPr>
        <b/>
        <i/>
        <sz val="10"/>
        <rFont val="Arial"/>
        <family val="2"/>
      </rPr>
      <t>, грн/ тонну</t>
    </r>
  </si>
  <si>
    <t>Ціна 1 тонни умовного палива, грн/ тонну</t>
  </si>
  <si>
    <t>бюджетних установ всього,в т.ч.:</t>
  </si>
  <si>
    <t>бюджетні установи м.Красноград,19 вересня (пелети)</t>
  </si>
  <si>
    <t>бюджетні установи с.Піщанка,8 Березня (лушпиння соняшника)</t>
  </si>
  <si>
    <t xml:space="preserve">Додаток 
до Процедури формування тарифів на
теплову енергію, її виробництво,
транспортування та постачання 
</t>
  </si>
  <si>
    <t>Розрахунок технологічних витрат  електроенергії на виробництво та транспортування теплової енергії</t>
  </si>
  <si>
    <t>(найменування ліцензіата)</t>
  </si>
  <si>
    <t>Плановий рік, 12 міс.</t>
  </si>
  <si>
    <t>Виробництво теплової енергії котельнями</t>
  </si>
  <si>
    <t>Відпуск теплової енергії з колекторів котелень</t>
  </si>
  <si>
    <t>коп/кВт ∙год</t>
  </si>
  <si>
    <t>Споживання електроенергії                              (ІІ клас напруги)</t>
  </si>
  <si>
    <t>Вартість електроенергії (ІІ клас напруги)</t>
  </si>
  <si>
    <t>Споживання електроенергії власного виробництва</t>
  </si>
  <si>
    <t>Собівартість електроенергії власного виробництва</t>
  </si>
  <si>
    <t>Вартість електроенергії власного виробництва</t>
  </si>
  <si>
    <t>Вартість активної електроенергії, усього</t>
  </si>
  <si>
    <t>Обсяг споживання реактивної електроенергії</t>
  </si>
  <si>
    <t>тис. кВт∙год з активної</t>
  </si>
  <si>
    <t>Тариф на споживання реактивної електроенергії без ПДВ</t>
  </si>
  <si>
    <t>коп/кВАр∙год</t>
  </si>
  <si>
    <t>Вартість споживання реактивної електроенергії</t>
  </si>
  <si>
    <t>Обсяг генерації реактивної електроенергії</t>
  </si>
  <si>
    <t>тис. кВАр∙год</t>
  </si>
  <si>
    <t>Тариф на генерацію реактивної електроенергії без ПДВ</t>
  </si>
  <si>
    <t>Вартість генерації реактивної  електроенергії</t>
  </si>
  <si>
    <t>Транспортування теплової енергії власними тепловими мережами</t>
  </si>
  <si>
    <t>Обсяг надходження теплової енергії у власні теплові мережі</t>
  </si>
  <si>
    <t>Гкал </t>
  </si>
  <si>
    <t>Норма питомих витрат електроенергії на транспортування теплової енергії </t>
  </si>
  <si>
    <t>кВт·год /Гкал </t>
  </si>
  <si>
    <t>Обсяг споживання активної електроенергії, усього </t>
  </si>
  <si>
    <t>тис. кВт·год </t>
  </si>
  <si>
    <t>коп/кВт·год </t>
  </si>
  <si>
    <t>тис. грн </t>
  </si>
  <si>
    <t>Красноградського підприємства теплових мереж</t>
  </si>
  <si>
    <t>квт.год/Гкал</t>
  </si>
  <si>
    <r>
      <t xml:space="preserve">Вартість активної ,реактивної та генерації електроенергії на </t>
    </r>
    <r>
      <rPr>
        <b/>
        <i/>
        <u val="single"/>
        <sz val="10"/>
        <color indexed="8"/>
        <rFont val="Times New Roman"/>
        <family val="1"/>
      </rPr>
      <t xml:space="preserve">транспортування </t>
    </r>
    <r>
      <rPr>
        <sz val="10"/>
        <color indexed="8"/>
        <rFont val="Times New Roman"/>
        <family val="1"/>
      </rPr>
      <t>теплової енергії власними мережами</t>
    </r>
  </si>
  <si>
    <r>
      <t xml:space="preserve">Вартість активної , реактивної, та генерації електроенергії на </t>
    </r>
    <r>
      <rPr>
        <b/>
        <i/>
        <u val="single"/>
        <sz val="10"/>
        <color indexed="8"/>
        <rFont val="Times New Roman"/>
        <family val="1"/>
      </rPr>
      <t>виробництво</t>
    </r>
    <r>
      <rPr>
        <sz val="10"/>
        <color indexed="8"/>
        <rFont val="Times New Roman"/>
        <family val="1"/>
      </rPr>
      <t xml:space="preserve"> теплової енергії котельнями</t>
    </r>
  </si>
  <si>
    <t xml:space="preserve">Розрахунок технологічних витрат  електроенергії на  виробництво теплової енергії генеруючими джерелами САО, яка використовується  для теплозабезпечення багатоквартирного будинку за адресою: вул.Копиленка,5, м.Красноград  </t>
  </si>
  <si>
    <t xml:space="preserve">Тариф на послуги з розподілу ел.енергії без ПДВ </t>
  </si>
  <si>
    <t xml:space="preserve">Вартість послуги розподілу електроенергії </t>
  </si>
  <si>
    <r>
      <t xml:space="preserve">Вартість активної , реактивної, розподілу та генерації електроенергії на </t>
    </r>
    <r>
      <rPr>
        <b/>
        <i/>
        <u val="single"/>
        <sz val="10"/>
        <color indexed="8"/>
        <rFont val="Times New Roman"/>
        <family val="1"/>
      </rPr>
      <t>виробництво</t>
    </r>
    <r>
      <rPr>
        <sz val="10"/>
        <color indexed="8"/>
        <rFont val="Times New Roman"/>
        <family val="1"/>
      </rPr>
      <t xml:space="preserve"> теплової енергії котельнями</t>
    </r>
  </si>
  <si>
    <t xml:space="preserve">Обсяг на послуги розподілу  електроенергії                             </t>
  </si>
  <si>
    <t>Вартість активної електроенергії та розподілу, усього</t>
  </si>
  <si>
    <r>
      <t xml:space="preserve">Вартість активної ,реактивної , розподілу та генерації електроенергії на </t>
    </r>
    <r>
      <rPr>
        <b/>
        <i/>
        <u val="single"/>
        <sz val="10"/>
        <color indexed="8"/>
        <rFont val="Times New Roman"/>
        <family val="1"/>
      </rPr>
      <t xml:space="preserve">транспортування </t>
    </r>
    <r>
      <rPr>
        <sz val="10"/>
        <color indexed="8"/>
        <rFont val="Times New Roman"/>
        <family val="1"/>
      </rPr>
      <t>теплової енергії власними мережами</t>
    </r>
  </si>
  <si>
    <r>
      <t xml:space="preserve">Розрахунок вартості технологічних витрат  електроенергії на виробництво та транспортування теплової енергії генеруючими джерелами </t>
    </r>
    <r>
      <rPr>
        <b/>
        <i/>
        <u val="single"/>
        <sz val="11"/>
        <color indexed="8"/>
        <rFont val="Calibri"/>
        <family val="2"/>
      </rPr>
      <t>без урахування САО</t>
    </r>
    <r>
      <rPr>
        <sz val="11"/>
        <color indexed="8"/>
        <rFont val="Calibri"/>
        <family val="2"/>
      </rPr>
      <t>, яка використовується для теплозабезпечення багатоповерхового будинку за адресою: вул.Копиленка,5, м.Красноград</t>
    </r>
  </si>
  <si>
    <t>Обсяг споживання активної електроенергії,Копиленка,5</t>
  </si>
  <si>
    <t>Обсяг на послуги розподілу  електроенергії                              усього</t>
  </si>
  <si>
    <t xml:space="preserve">Обсяг на послуги розподілу  електроенергії                            Копиленка,5  </t>
  </si>
  <si>
    <t xml:space="preserve">Обсяг на послуги розподілу  електроенергії   без Копиленка 5                          </t>
  </si>
  <si>
    <t>Обсяг споживання активної електроенергії, усього без Копиленка</t>
  </si>
  <si>
    <t>Вартість електроенергії (ІІ клас напруги) Копиленка 5</t>
  </si>
  <si>
    <t xml:space="preserve">Вартість електроенергії (ІІ клас напруги) без Копиленка </t>
  </si>
  <si>
    <t>Вартість послуги розподілу електроенергії без Копиленка,5</t>
  </si>
  <si>
    <t>Вартість послуги розподілу електроенергії Копиленка,5</t>
  </si>
  <si>
    <t>Тариф на послуги з розподілу ел.енергії без ПДВ для Копиленка,5</t>
  </si>
  <si>
    <t>Вартість послуги розподілу електроенергії усього</t>
  </si>
  <si>
    <t>Вартість активної електроенергії (ІІ клас напруги)УСЬОГО</t>
  </si>
  <si>
    <t>Обсяг споживання активної електроенергії, (копиленка5)</t>
  </si>
  <si>
    <t>Обсяг споживання активної електроенергії,  (без копиленка5)</t>
  </si>
  <si>
    <t xml:space="preserve">Обсяг на послуги розподілу  електроенергії                         (копиленка5)     </t>
  </si>
  <si>
    <t xml:space="preserve">Обсяг на послуги розподілу  електроенергії              (без копиленка5)                </t>
  </si>
  <si>
    <t>Тариф на послуги з розподілу ел.енергії без ПДВ  (копиленка5)</t>
  </si>
  <si>
    <t>Вартість послуги розподілу електроенергії (Копиленка5)</t>
  </si>
  <si>
    <t>Вартість послуги розподілу електроенергії (без Копиленка5)</t>
  </si>
  <si>
    <t>Вартість електроенергії (ІІ клас напруги)всього</t>
  </si>
  <si>
    <t>Вартість електроенергії (ІІ клас напруги)копиленка</t>
  </si>
  <si>
    <t>Вартість електроенергії (ІІ клас напруги)без копиленка</t>
  </si>
  <si>
    <t>Тариф без ПДВ (ІІ клас напруги)Копиленка</t>
  </si>
  <si>
    <t>Тариф без ПДВ (ІІ клас напруги)без копиленка</t>
  </si>
  <si>
    <t>Річний план    2021-2022</t>
  </si>
  <si>
    <t>Красноградського підприємства теплових мереж на 2021-2022 рр.</t>
  </si>
  <si>
    <t xml:space="preserve">                                                   Директор Красноградського ПТМ _____________________ Олександр СИДОРЕНКО</t>
  </si>
  <si>
    <t>Директор  Красноградського ПТМ _________________________________  Олександр СИДОРЕНКО</t>
  </si>
  <si>
    <t xml:space="preserve">Додаток  до Порядку розгляду органами місцевого самоврядування розрахунків тарифів на теплову енергію, її виробництво, транспортування та постачання, а також розрахунків тарифів на комунальні послуги, поданих для їх встановлення (підпункт 4 пункту 3 розділу ІІ)  
</t>
  </si>
  <si>
    <t xml:space="preserve">                                                                                                                                (підпис)                      (ініціали, прізвище)</t>
  </si>
  <si>
    <t xml:space="preserve">                                                                             (підпис)                                                         (ініціали, прізвище)</t>
  </si>
  <si>
    <t xml:space="preserve">РІЧНИЙ ПЛАН ВИРОБНИЦТВА, ТРАНСПОРТУВАННЯ ТА ПОСТАЧАННЯ ТЕПЛОВОЇ ЕНЕРГІЇ    на  2021-2022 роки                  </t>
  </si>
  <si>
    <t>Додаток 1</t>
  </si>
  <si>
    <t>до рішення районної ради</t>
  </si>
  <si>
    <t>(ХІІ сесія VIІI скликання)</t>
  </si>
  <si>
    <t>від 21 жовтня 2021 року № 225-VIІI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</si>
</sst>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;@"/>
    <numFmt numFmtId="181" formatCode="0.000"/>
    <numFmt numFmtId="182" formatCode="0.00000"/>
    <numFmt numFmtId="183" formatCode="0.0000"/>
    <numFmt numFmtId="184" formatCode="0.000000"/>
    <numFmt numFmtId="185" formatCode="0.0"/>
    <numFmt numFmtId="186" formatCode="0.000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00000"/>
    <numFmt numFmtId="194" formatCode="0.000000000"/>
    <numFmt numFmtId="195" formatCode="0.0000000000"/>
    <numFmt numFmtId="196" formatCode="[$-FC19]d\ mmmm\ yyyy\ &quot;г.&quot;"/>
  </numFmts>
  <fonts count="5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6"/>
      <color indexed="9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vertAlign val="superscript"/>
      <sz val="10"/>
      <name val="Arial"/>
      <family val="2"/>
    </font>
    <font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19" borderId="11" xfId="0" applyNumberFormat="1" applyFont="1" applyFill="1" applyBorder="1" applyAlignment="1">
      <alignment horizontal="center" vertical="top" wrapText="1"/>
    </xf>
    <xf numFmtId="0" fontId="0" fillId="19" borderId="12" xfId="0" applyFont="1" applyFill="1" applyBorder="1" applyAlignment="1">
      <alignment horizontal="center" vertical="top" wrapText="1"/>
    </xf>
    <xf numFmtId="181" fontId="0" fillId="0" borderId="12" xfId="0" applyNumberFormat="1" applyFont="1" applyBorder="1" applyAlignment="1">
      <alignment horizontal="center" vertical="top" wrapText="1"/>
    </xf>
    <xf numFmtId="181" fontId="0" fillId="19" borderId="12" xfId="0" applyNumberFormat="1" applyFont="1" applyFill="1" applyBorder="1" applyAlignment="1">
      <alignment horizontal="center" vertical="top" wrapText="1"/>
    </xf>
    <xf numFmtId="0" fontId="0" fillId="19" borderId="12" xfId="0" applyFont="1" applyFill="1" applyBorder="1" applyAlignment="1">
      <alignment vertical="top" wrapText="1"/>
    </xf>
    <xf numFmtId="181" fontId="0" fillId="24" borderId="12" xfId="0" applyNumberFormat="1" applyFont="1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0" fillId="24" borderId="12" xfId="0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vertical="top" wrapText="1"/>
    </xf>
    <xf numFmtId="49" fontId="0" fillId="24" borderId="0" xfId="0" applyNumberFormat="1" applyFont="1" applyFill="1" applyAlignment="1">
      <alignment wrapText="1"/>
    </xf>
    <xf numFmtId="0" fontId="0" fillId="24" borderId="0" xfId="0" applyFont="1" applyFill="1" applyAlignment="1">
      <alignment horizontal="left" wrapText="1"/>
    </xf>
    <xf numFmtId="0" fontId="0" fillId="24" borderId="0" xfId="0" applyFont="1" applyFill="1" applyAlignment="1">
      <alignment wrapText="1"/>
    </xf>
    <xf numFmtId="0" fontId="0" fillId="24" borderId="13" xfId="0" applyFont="1" applyFill="1" applyBorder="1" applyAlignment="1">
      <alignment horizontal="center" vertical="top" wrapText="1"/>
    </xf>
    <xf numFmtId="0" fontId="0" fillId="24" borderId="12" xfId="0" applyFont="1" applyFill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181" fontId="0" fillId="25" borderId="12" xfId="0" applyNumberFormat="1" applyFont="1" applyFill="1" applyBorder="1" applyAlignment="1">
      <alignment horizontal="center" vertical="top" wrapText="1"/>
    </xf>
    <xf numFmtId="181" fontId="0" fillId="15" borderId="12" xfId="0" applyNumberFormat="1" applyFont="1" applyFill="1" applyBorder="1" applyAlignment="1">
      <alignment horizontal="center" vertical="top" wrapText="1"/>
    </xf>
    <xf numFmtId="181" fontId="0" fillId="10" borderId="12" xfId="0" applyNumberFormat="1" applyFont="1" applyFill="1" applyBorder="1" applyAlignment="1">
      <alignment horizontal="center" vertical="top" wrapText="1"/>
    </xf>
    <xf numFmtId="181" fontId="0" fillId="26" borderId="12" xfId="0" applyNumberFormat="1" applyFont="1" applyFill="1" applyBorder="1" applyAlignment="1">
      <alignment horizontal="center" vertical="top" wrapText="1"/>
    </xf>
    <xf numFmtId="181" fontId="0" fillId="17" borderId="12" xfId="0" applyNumberFormat="1" applyFont="1" applyFill="1" applyBorder="1" applyAlignment="1">
      <alignment horizontal="center" vertical="top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left" vertical="top" wrapText="1"/>
    </xf>
    <xf numFmtId="49" fontId="0" fillId="24" borderId="15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181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top" wrapText="1"/>
    </xf>
    <xf numFmtId="2" fontId="0" fillId="24" borderId="10" xfId="0" applyNumberFormat="1" applyFont="1" applyFill="1" applyBorder="1" applyAlignment="1">
      <alignment horizontal="center" vertical="center"/>
    </xf>
    <xf numFmtId="2" fontId="0" fillId="24" borderId="0" xfId="0" applyNumberFormat="1" applyFont="1" applyFill="1" applyAlignment="1">
      <alignment horizontal="center" vertical="center"/>
    </xf>
    <xf numFmtId="181" fontId="9" fillId="24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0" fontId="9" fillId="0" borderId="0" xfId="0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10" fontId="11" fillId="24" borderId="0" xfId="0" applyNumberFormat="1" applyFont="1" applyFill="1" applyAlignment="1">
      <alignment horizontal="center" vertical="center"/>
    </xf>
    <xf numFmtId="10" fontId="9" fillId="24" borderId="0" xfId="0" applyNumberFormat="1" applyFont="1" applyFill="1" applyAlignment="1">
      <alignment horizontal="center" vertical="center"/>
    </xf>
    <xf numFmtId="9" fontId="11" fillId="24" borderId="0" xfId="0" applyNumberFormat="1" applyFont="1" applyFill="1" applyAlignment="1">
      <alignment horizontal="center" vertical="center"/>
    </xf>
    <xf numFmtId="9" fontId="9" fillId="24" borderId="0" xfId="0" applyNumberFormat="1" applyFont="1" applyFill="1" applyAlignment="1">
      <alignment horizontal="center" vertical="center"/>
    </xf>
    <xf numFmtId="0" fontId="9" fillId="24" borderId="0" xfId="0" applyFont="1" applyFill="1" applyAlignment="1">
      <alignment/>
    </xf>
    <xf numFmtId="180" fontId="0" fillId="24" borderId="11" xfId="0" applyNumberFormat="1" applyFont="1" applyFill="1" applyBorder="1" applyAlignment="1">
      <alignment horizontal="center" vertical="top" wrapText="1"/>
    </xf>
    <xf numFmtId="2" fontId="0" fillId="24" borderId="12" xfId="0" applyNumberFormat="1" applyFont="1" applyFill="1" applyBorder="1" applyAlignment="1">
      <alignment horizontal="center" wrapText="1"/>
    </xf>
    <xf numFmtId="2" fontId="0" fillId="24" borderId="16" xfId="0" applyNumberFormat="1" applyFont="1" applyFill="1" applyBorder="1" applyAlignment="1">
      <alignment horizontal="center"/>
    </xf>
    <xf numFmtId="181" fontId="9" fillId="0" borderId="0" xfId="0" applyNumberFormat="1" applyFont="1" applyAlignment="1">
      <alignment/>
    </xf>
    <xf numFmtId="182" fontId="9" fillId="0" borderId="0" xfId="0" applyNumberFormat="1" applyFont="1" applyAlignment="1">
      <alignment/>
    </xf>
    <xf numFmtId="181" fontId="9" fillId="24" borderId="0" xfId="0" applyNumberFormat="1" applyFont="1" applyFill="1" applyAlignment="1">
      <alignment/>
    </xf>
    <xf numFmtId="2" fontId="9" fillId="24" borderId="17" xfId="0" applyNumberFormat="1" applyFont="1" applyFill="1" applyBorder="1" applyAlignment="1">
      <alignment horizontal="center" vertical="top" wrapText="1"/>
    </xf>
    <xf numFmtId="0" fontId="9" fillId="24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/>
    </xf>
    <xf numFmtId="2" fontId="0" fillId="0" borderId="12" xfId="0" applyNumberFormat="1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center" vertical="top" wrapText="1"/>
    </xf>
    <xf numFmtId="2" fontId="0" fillId="24" borderId="16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top" wrapText="1"/>
    </xf>
    <xf numFmtId="2" fontId="0" fillId="0" borderId="19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" fontId="0" fillId="24" borderId="11" xfId="0" applyNumberFormat="1" applyFont="1" applyFill="1" applyBorder="1" applyAlignment="1">
      <alignment horizontal="center" vertical="center" wrapText="1"/>
    </xf>
    <xf numFmtId="49" fontId="0" fillId="24" borderId="20" xfId="0" applyNumberFormat="1" applyFont="1" applyFill="1" applyBorder="1" applyAlignment="1">
      <alignment horizontal="center"/>
    </xf>
    <xf numFmtId="49" fontId="0" fillId="24" borderId="10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82" fontId="0" fillId="0" borderId="0" xfId="0" applyNumberFormat="1" applyFont="1" applyAlignment="1">
      <alignment/>
    </xf>
    <xf numFmtId="181" fontId="9" fillId="24" borderId="0" xfId="0" applyNumberFormat="1" applyFont="1" applyFill="1" applyAlignment="1" applyProtection="1">
      <alignment/>
      <protection locked="0"/>
    </xf>
    <xf numFmtId="0" fontId="1" fillId="0" borderId="1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25" borderId="12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center" wrapText="1"/>
    </xf>
    <xf numFmtId="2" fontId="30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NumberFormat="1" applyFont="1" applyBorder="1" applyAlignment="1">
      <alignment vertical="top"/>
    </xf>
    <xf numFmtId="0" fontId="0" fillId="0" borderId="0" xfId="0" applyNumberFormat="1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2" fontId="30" fillId="24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top"/>
    </xf>
    <xf numFmtId="0" fontId="0" fillId="0" borderId="23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2" fontId="31" fillId="2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top"/>
    </xf>
    <xf numFmtId="2" fontId="0" fillId="0" borderId="10" xfId="0" applyNumberFormat="1" applyFont="1" applyBorder="1" applyAlignment="1">
      <alignment horizontal="center" vertical="top"/>
    </xf>
    <xf numFmtId="2" fontId="0" fillId="24" borderId="24" xfId="0" applyNumberFormat="1" applyFont="1" applyFill="1" applyBorder="1" applyAlignment="1">
      <alignment horizontal="center" vertical="center"/>
    </xf>
    <xf numFmtId="2" fontId="5" fillId="24" borderId="10" xfId="0" applyNumberFormat="1" applyFont="1" applyFill="1" applyBorder="1" applyAlignment="1">
      <alignment horizontal="center" vertical="center"/>
    </xf>
    <xf numFmtId="2" fontId="5" fillId="24" borderId="24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2" fontId="5" fillId="24" borderId="10" xfId="0" applyNumberFormat="1" applyFont="1" applyFill="1" applyBorder="1" applyAlignment="1">
      <alignment vertical="top"/>
    </xf>
    <xf numFmtId="2" fontId="5" fillId="24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2" fontId="0" fillId="0" borderId="21" xfId="0" applyNumberFormat="1" applyFont="1" applyBorder="1" applyAlignment="1">
      <alignment horizontal="center" vertical="top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2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top"/>
    </xf>
    <xf numFmtId="0" fontId="2" fillId="24" borderId="0" xfId="0" applyFont="1" applyFill="1" applyAlignment="1">
      <alignment horizontal="center" wrapText="1"/>
    </xf>
    <xf numFmtId="0" fontId="0" fillId="24" borderId="0" xfId="0" applyFont="1" applyFill="1" applyAlignment="1">
      <alignment wrapText="1"/>
    </xf>
    <xf numFmtId="2" fontId="0" fillId="24" borderId="10" xfId="0" applyNumberFormat="1" applyFont="1" applyFill="1" applyBorder="1" applyAlignment="1">
      <alignment vertical="top"/>
    </xf>
    <xf numFmtId="2" fontId="0" fillId="0" borderId="2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2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4" fontId="22" fillId="0" borderId="10" xfId="53" applyNumberFormat="1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5" fillId="24" borderId="10" xfId="0" applyNumberFormat="1" applyFont="1" applyFill="1" applyBorder="1" applyAlignment="1" applyProtection="1">
      <alignment horizontal="center" vertical="center"/>
      <protection locked="0"/>
    </xf>
    <xf numFmtId="2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3" applyNumberFormat="1" applyFont="1" applyBorder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center" vertical="center" wrapText="1"/>
      <protection/>
    </xf>
    <xf numFmtId="2" fontId="0" fillId="24" borderId="10" xfId="53" applyNumberFormat="1" applyFont="1" applyFill="1" applyBorder="1" applyAlignment="1">
      <alignment horizontal="center" vertical="center" wrapText="1"/>
      <protection/>
    </xf>
    <xf numFmtId="2" fontId="0" fillId="24" borderId="27" xfId="0" applyNumberFormat="1" applyFont="1" applyFill="1" applyBorder="1" applyAlignment="1" applyProtection="1">
      <alignment horizontal="center" vertical="center" wrapText="1"/>
      <protection locked="0"/>
    </xf>
    <xf numFmtId="2" fontId="32" fillId="24" borderId="2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7" xfId="0" applyNumberFormat="1" applyFont="1" applyBorder="1" applyAlignment="1" applyProtection="1">
      <alignment horizontal="center" vertical="center" wrapText="1"/>
      <protection locked="0"/>
    </xf>
    <xf numFmtId="2" fontId="5" fillId="2" borderId="27" xfId="0" applyNumberFormat="1" applyFont="1" applyFill="1" applyBorder="1" applyAlignment="1" applyProtection="1">
      <alignment horizontal="center" vertical="center"/>
      <protection locked="0"/>
    </xf>
    <xf numFmtId="2" fontId="5" fillId="2" borderId="27" xfId="53" applyNumberFormat="1" applyFont="1" applyFill="1" applyBorder="1" applyAlignment="1">
      <alignment horizontal="center" vertical="center" wrapText="1"/>
      <protection/>
    </xf>
    <xf numFmtId="2" fontId="0" fillId="2" borderId="27" xfId="0" applyNumberFormat="1" applyFont="1" applyFill="1" applyBorder="1" applyAlignment="1" applyProtection="1">
      <alignment horizontal="center" vertical="center" wrapText="1"/>
      <protection locked="0"/>
    </xf>
    <xf numFmtId="2" fontId="0" fillId="24" borderId="2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0" borderId="23" xfId="53" applyNumberFormat="1" applyFont="1" applyBorder="1" applyAlignment="1">
      <alignment horizontal="center" vertical="center" wrapText="1"/>
      <protection/>
    </xf>
    <xf numFmtId="2" fontId="32" fillId="24" borderId="2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3" xfId="0" applyNumberFormat="1" applyFont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181" fontId="0" fillId="24" borderId="21" xfId="0" applyNumberFormat="1" applyFont="1" applyFill="1" applyBorder="1" applyAlignment="1" applyProtection="1">
      <alignment horizontal="center" vertical="center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 vertical="center" wrapText="1"/>
    </xf>
    <xf numFmtId="0" fontId="0" fillId="0" borderId="15" xfId="0" applyFont="1" applyBorder="1" applyAlignment="1" applyProtection="1">
      <alignment vertical="top"/>
      <protection locked="0"/>
    </xf>
    <xf numFmtId="181" fontId="0" fillId="24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vertical="top"/>
      <protection locked="0"/>
    </xf>
    <xf numFmtId="2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2" fontId="0" fillId="0" borderId="28" xfId="0" applyNumberFormat="1" applyFont="1" applyBorder="1" applyAlignment="1" applyProtection="1">
      <alignment horizontal="center" vertical="center" wrapText="1"/>
      <protection locked="0"/>
    </xf>
    <xf numFmtId="2" fontId="0" fillId="0" borderId="21" xfId="0" applyNumberFormat="1" applyFont="1" applyBorder="1" applyAlignment="1" applyProtection="1">
      <alignment horizontal="center" vertical="center" wrapText="1"/>
      <protection locked="0"/>
    </xf>
    <xf numFmtId="2" fontId="0" fillId="0" borderId="25" xfId="0" applyNumberFormat="1" applyFont="1" applyBorder="1" applyAlignment="1" applyProtection="1">
      <alignment horizontal="center" vertical="center" wrapText="1"/>
      <protection locked="0"/>
    </xf>
    <xf numFmtId="181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right" vertical="top"/>
      <protection locked="0"/>
    </xf>
    <xf numFmtId="2" fontId="22" fillId="0" borderId="10" xfId="53" applyNumberFormat="1" applyFont="1" applyFill="1" applyBorder="1" applyAlignment="1">
      <alignment horizontal="center" vertical="center" wrapText="1"/>
      <protection/>
    </xf>
    <xf numFmtId="2" fontId="5" fillId="24" borderId="21" xfId="0" applyNumberFormat="1" applyFont="1" applyFill="1" applyBorder="1" applyAlignment="1" applyProtection="1">
      <alignment horizontal="center" vertical="center"/>
      <protection locked="0"/>
    </xf>
    <xf numFmtId="2" fontId="0" fillId="24" borderId="21" xfId="0" applyNumberFormat="1" applyFont="1" applyFill="1" applyBorder="1" applyAlignment="1" applyProtection="1">
      <alignment horizontal="center" vertical="center"/>
      <protection locked="0"/>
    </xf>
    <xf numFmtId="2" fontId="0" fillId="24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vertical="top" wrapText="1"/>
      <protection locked="0"/>
    </xf>
    <xf numFmtId="2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81" fontId="0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7" xfId="53" applyNumberFormat="1" applyFont="1" applyFill="1" applyBorder="1" applyAlignment="1">
      <alignment horizontal="center" vertical="center" wrapText="1"/>
      <protection/>
    </xf>
    <xf numFmtId="181" fontId="5" fillId="2" borderId="28" xfId="0" applyNumberFormat="1" applyFont="1" applyFill="1" applyBorder="1" applyAlignment="1" applyProtection="1">
      <alignment horizontal="center" vertical="center"/>
      <protection locked="0"/>
    </xf>
    <xf numFmtId="2" fontId="5" fillId="24" borderId="10" xfId="53" applyNumberFormat="1" applyFont="1" applyFill="1" applyBorder="1" applyAlignment="1">
      <alignment horizontal="center" vertical="center" wrapText="1"/>
      <protection/>
    </xf>
    <xf numFmtId="0" fontId="0" fillId="2" borderId="29" xfId="0" applyFont="1" applyFill="1" applyBorder="1" applyAlignment="1">
      <alignment vertical="top" wrapText="1"/>
    </xf>
    <xf numFmtId="0" fontId="0" fillId="2" borderId="22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2" fontId="0" fillId="2" borderId="10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181" fontId="0" fillId="24" borderId="25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53" applyNumberFormat="1" applyFont="1" applyFill="1" applyBorder="1" applyAlignment="1">
      <alignment horizontal="center" vertical="center" wrapText="1"/>
      <protection/>
    </xf>
    <xf numFmtId="0" fontId="0" fillId="2" borderId="20" xfId="0" applyFont="1" applyFill="1" applyBorder="1" applyAlignment="1" applyProtection="1">
      <alignment horizontal="center" vertical="top"/>
      <protection locked="0"/>
    </xf>
    <xf numFmtId="2" fontId="5" fillId="2" borderId="21" xfId="0" applyNumberFormat="1" applyFont="1" applyFill="1" applyBorder="1" applyAlignment="1" applyProtection="1">
      <alignment horizontal="center" vertical="center"/>
      <protection locked="0"/>
    </xf>
    <xf numFmtId="2" fontId="0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2" xfId="0" applyFont="1" applyFill="1" applyBorder="1" applyAlignment="1" applyProtection="1">
      <alignment horizontal="center" vertical="top"/>
      <protection locked="0"/>
    </xf>
    <xf numFmtId="4" fontId="23" fillId="2" borderId="10" xfId="53" applyNumberFormat="1" applyFont="1" applyFill="1" applyBorder="1" applyAlignment="1">
      <alignment horizontal="center" vertical="center" wrapText="1"/>
      <protection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top"/>
      <protection locked="0"/>
    </xf>
    <xf numFmtId="0" fontId="18" fillId="0" borderId="36" xfId="0" applyFont="1" applyBorder="1" applyAlignment="1" applyProtection="1">
      <alignment horizontal="center" vertical="top" wrapText="1"/>
      <protection locked="0"/>
    </xf>
    <xf numFmtId="0" fontId="18" fillId="0" borderId="37" xfId="0" applyFont="1" applyBorder="1" applyAlignment="1" applyProtection="1">
      <alignment horizontal="center" vertical="top" wrapText="1"/>
      <protection locked="0"/>
    </xf>
    <xf numFmtId="2" fontId="5" fillId="24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>
      <alignment vertical="top"/>
    </xf>
    <xf numFmtId="2" fontId="0" fillId="0" borderId="23" xfId="0" applyNumberFormat="1" applyFont="1" applyBorder="1" applyAlignment="1">
      <alignment horizontal="center" vertical="center"/>
    </xf>
    <xf numFmtId="2" fontId="5" fillId="24" borderId="23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 applyProtection="1">
      <alignment horizontal="center" vertical="center" wrapText="1"/>
      <protection locked="0"/>
    </xf>
    <xf numFmtId="2" fontId="0" fillId="0" borderId="19" xfId="53" applyNumberFormat="1" applyFont="1" applyBorder="1" applyAlignment="1">
      <alignment horizontal="center" vertical="center" wrapText="1"/>
      <protection/>
    </xf>
    <xf numFmtId="2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181" fontId="0" fillId="24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right" vertical="top" wrapText="1"/>
      <protection locked="0"/>
    </xf>
    <xf numFmtId="2" fontId="0" fillId="0" borderId="0" xfId="0" applyNumberFormat="1" applyAlignment="1" applyProtection="1">
      <alignment/>
      <protection locked="0"/>
    </xf>
    <xf numFmtId="0" fontId="27" fillId="0" borderId="0" xfId="53">
      <alignment/>
      <protection/>
    </xf>
    <xf numFmtId="0" fontId="25" fillId="27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49" fontId="0" fillId="24" borderId="11" xfId="0" applyNumberFormat="1" applyFont="1" applyFill="1" applyBorder="1" applyAlignment="1">
      <alignment horizontal="center" vertical="top" wrapText="1"/>
    </xf>
    <xf numFmtId="0" fontId="25" fillId="0" borderId="10" xfId="53" applyFont="1" applyBorder="1" applyAlignment="1">
      <alignment horizontal="center" vertical="center"/>
      <protection/>
    </xf>
    <xf numFmtId="0" fontId="25" fillId="0" borderId="10" xfId="53" applyFont="1" applyBorder="1" applyAlignment="1">
      <alignment vertical="center" wrapText="1"/>
      <protection/>
    </xf>
    <xf numFmtId="181" fontId="25" fillId="25" borderId="10" xfId="53" applyNumberFormat="1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5" fillId="0" borderId="10" xfId="53" applyFont="1" applyBorder="1" applyAlignment="1">
      <alignment horizontal="center" vertical="center"/>
      <protection/>
    </xf>
    <xf numFmtId="2" fontId="25" fillId="0" borderId="10" xfId="53" applyNumberFormat="1" applyFont="1" applyBorder="1" applyAlignment="1">
      <alignment horizontal="center" vertical="center"/>
      <protection/>
    </xf>
    <xf numFmtId="181" fontId="25" fillId="0" borderId="10" xfId="53" applyNumberFormat="1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27" borderId="10" xfId="53" applyFont="1" applyFill="1" applyBorder="1" applyAlignment="1">
      <alignment vertical="center" wrapText="1"/>
      <protection/>
    </xf>
    <xf numFmtId="1" fontId="25" fillId="0" borderId="10" xfId="53" applyNumberFormat="1" applyFont="1" applyBorder="1" applyAlignment="1">
      <alignment horizontal="center" vertical="center" wrapText="1"/>
      <protection/>
    </xf>
    <xf numFmtId="181" fontId="25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vertical="center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181" fontId="25" fillId="0" borderId="0" xfId="53" applyNumberFormat="1" applyFont="1" applyBorder="1" applyAlignment="1">
      <alignment horizontal="center" vertical="center"/>
      <protection/>
    </xf>
    <xf numFmtId="0" fontId="25" fillId="25" borderId="10" xfId="53" applyFont="1" applyFill="1" applyBorder="1" applyAlignment="1">
      <alignment vertical="center" wrapText="1"/>
      <protection/>
    </xf>
    <xf numFmtId="0" fontId="25" fillId="25" borderId="10" xfId="53" applyFont="1" applyFill="1" applyBorder="1" applyAlignment="1">
      <alignment horizontal="center" vertical="center" wrapText="1"/>
      <protection/>
    </xf>
    <xf numFmtId="181" fontId="25" fillId="24" borderId="10" xfId="53" applyNumberFormat="1" applyFont="1" applyFill="1" applyBorder="1" applyAlignment="1">
      <alignment horizontal="center" vertical="center" wrapText="1"/>
      <protection/>
    </xf>
    <xf numFmtId="1" fontId="25" fillId="24" borderId="10" xfId="53" applyNumberFormat="1" applyFont="1" applyFill="1" applyBorder="1" applyAlignment="1">
      <alignment horizontal="center" vertical="center" wrapText="1"/>
      <protection/>
    </xf>
    <xf numFmtId="185" fontId="25" fillId="24" borderId="10" xfId="53" applyNumberFormat="1" applyFont="1" applyFill="1" applyBorder="1" applyAlignment="1">
      <alignment horizontal="center" vertical="center" wrapText="1"/>
      <protection/>
    </xf>
    <xf numFmtId="0" fontId="25" fillId="24" borderId="10" xfId="53" applyFont="1" applyFill="1" applyBorder="1" applyAlignment="1">
      <alignment horizontal="center" vertical="center" wrapText="1"/>
      <protection/>
    </xf>
    <xf numFmtId="2" fontId="25" fillId="24" borderId="10" xfId="53" applyNumberFormat="1" applyFont="1" applyFill="1" applyBorder="1" applyAlignment="1">
      <alignment horizontal="center" vertical="center"/>
      <protection/>
    </xf>
    <xf numFmtId="0" fontId="25" fillId="25" borderId="10" xfId="53" applyFont="1" applyFill="1" applyBorder="1" applyAlignment="1">
      <alignment horizontal="center" vertical="center"/>
      <protection/>
    </xf>
    <xf numFmtId="181" fontId="25" fillId="27" borderId="10" xfId="53" applyNumberFormat="1" applyFont="1" applyFill="1" applyBorder="1" applyAlignment="1">
      <alignment horizontal="center" vertical="center"/>
      <protection/>
    </xf>
    <xf numFmtId="181" fontId="25" fillId="0" borderId="10" xfId="53" applyNumberFormat="1" applyFont="1" applyBorder="1" applyAlignment="1">
      <alignment horizontal="center" vertical="center"/>
      <protection/>
    </xf>
    <xf numFmtId="0" fontId="25" fillId="24" borderId="10" xfId="53" applyFont="1" applyFill="1" applyBorder="1" applyAlignment="1">
      <alignment vertical="center" wrapText="1"/>
      <protection/>
    </xf>
    <xf numFmtId="0" fontId="25" fillId="24" borderId="1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5" fillId="24" borderId="18" xfId="53" applyFont="1" applyFill="1" applyBorder="1" applyAlignment="1">
      <alignment horizontal="center" vertical="center"/>
      <protection/>
    </xf>
    <xf numFmtId="0" fontId="25" fillId="24" borderId="10" xfId="53" applyFont="1" applyFill="1" applyBorder="1" applyAlignment="1">
      <alignment horizontal="center" vertical="center"/>
      <protection/>
    </xf>
    <xf numFmtId="181" fontId="25" fillId="0" borderId="10" xfId="53" applyNumberFormat="1" applyFont="1" applyBorder="1" applyAlignment="1">
      <alignment horizontal="center" vertical="center"/>
      <protection/>
    </xf>
    <xf numFmtId="181" fontId="25" fillId="25" borderId="10" xfId="53" applyNumberFormat="1" applyFont="1" applyFill="1" applyBorder="1" applyAlignment="1">
      <alignment horizontal="center" vertical="center"/>
      <protection/>
    </xf>
    <xf numFmtId="181" fontId="9" fillId="24" borderId="0" xfId="0" applyNumberFormat="1" applyFont="1" applyFill="1" applyAlignment="1">
      <alignment/>
    </xf>
    <xf numFmtId="0" fontId="34" fillId="0" borderId="0" xfId="0" applyFont="1" applyAlignment="1">
      <alignment horizontal="right" vertical="center"/>
    </xf>
    <xf numFmtId="0" fontId="0" fillId="24" borderId="14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right" wrapText="1"/>
    </xf>
    <xf numFmtId="49" fontId="0" fillId="24" borderId="30" xfId="0" applyNumberFormat="1" applyFont="1" applyFill="1" applyBorder="1" applyAlignment="1">
      <alignment horizontal="center" vertical="top" wrapText="1"/>
    </xf>
    <xf numFmtId="49" fontId="0" fillId="24" borderId="14" xfId="0" applyNumberFormat="1" applyFont="1" applyFill="1" applyBorder="1" applyAlignment="1">
      <alignment horizontal="center" vertical="top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vertical="center"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0" xfId="0" applyBorder="1" applyAlignment="1">
      <alignment wrapText="1"/>
    </xf>
    <xf numFmtId="0" fontId="0" fillId="0" borderId="0" xfId="0" applyFont="1" applyAlignment="1">
      <alignment wrapText="1"/>
    </xf>
    <xf numFmtId="0" fontId="0" fillId="24" borderId="30" xfId="0" applyFont="1" applyFill="1" applyBorder="1" applyAlignment="1">
      <alignment horizontal="center" vertical="top" wrapText="1"/>
    </xf>
    <xf numFmtId="0" fontId="12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top" wrapText="1"/>
    </xf>
    <xf numFmtId="0" fontId="0" fillId="24" borderId="43" xfId="0" applyFont="1" applyFill="1" applyBorder="1" applyAlignment="1">
      <alignment horizontal="center" vertical="top" wrapText="1"/>
    </xf>
    <xf numFmtId="0" fontId="0" fillId="24" borderId="4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0" fillId="0" borderId="3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2" fontId="5" fillId="2" borderId="45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46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5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right" wrapText="1"/>
      <protection locked="0"/>
    </xf>
    <xf numFmtId="0" fontId="5" fillId="2" borderId="29" xfId="0" applyFont="1" applyFill="1" applyBorder="1" applyAlignment="1" applyProtection="1">
      <alignment horizontal="center" vertical="top" wrapText="1"/>
      <protection locked="0"/>
    </xf>
    <xf numFmtId="0" fontId="5" fillId="2" borderId="48" xfId="0" applyFont="1" applyFill="1" applyBorder="1" applyAlignment="1" applyProtection="1">
      <alignment horizontal="center" vertical="top" wrapText="1"/>
      <protection locked="0"/>
    </xf>
    <xf numFmtId="0" fontId="5" fillId="2" borderId="49" xfId="0" applyFont="1" applyFill="1" applyBorder="1" applyAlignment="1" applyProtection="1">
      <alignment horizontal="center" vertical="top" wrapText="1"/>
      <protection locked="0"/>
    </xf>
    <xf numFmtId="0" fontId="5" fillId="2" borderId="50" xfId="0" applyFont="1" applyFill="1" applyBorder="1" applyAlignment="1" applyProtection="1">
      <alignment horizontal="center" vertical="top" wrapText="1"/>
      <protection locked="0"/>
    </xf>
    <xf numFmtId="0" fontId="5" fillId="2" borderId="51" xfId="0" applyFont="1" applyFill="1" applyBorder="1" applyAlignment="1" applyProtection="1">
      <alignment horizontal="center" vertical="top" wrapText="1"/>
      <protection locked="0"/>
    </xf>
    <xf numFmtId="0" fontId="5" fillId="2" borderId="52" xfId="0" applyFont="1" applyFill="1" applyBorder="1" applyAlignment="1" applyProtection="1">
      <alignment horizontal="center" vertical="top" wrapText="1"/>
      <protection locked="0"/>
    </xf>
    <xf numFmtId="0" fontId="14" fillId="24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>
      <alignment horizontal="center" vertical="center" wrapText="1"/>
    </xf>
    <xf numFmtId="0" fontId="27" fillId="0" borderId="0" xfId="53" applyFont="1" applyAlignment="1">
      <alignment horizontal="center"/>
      <protection/>
    </xf>
    <xf numFmtId="0" fontId="29" fillId="0" borderId="0" xfId="53" applyFont="1" applyAlignment="1">
      <alignment horizontal="left" wrapText="1"/>
      <protection/>
    </xf>
    <xf numFmtId="0" fontId="27" fillId="0" borderId="0" xfId="53" applyAlignment="1">
      <alignment horizontal="center"/>
      <protection/>
    </xf>
    <xf numFmtId="0" fontId="27" fillId="0" borderId="48" xfId="53" applyBorder="1" applyAlignment="1">
      <alignment horizontal="center"/>
      <protection/>
    </xf>
    <xf numFmtId="0" fontId="27" fillId="0" borderId="46" xfId="53" applyBorder="1" applyAlignment="1">
      <alignment horizontal="right"/>
      <protection/>
    </xf>
    <xf numFmtId="0" fontId="25" fillId="0" borderId="29" xfId="53" applyFont="1" applyBorder="1" applyAlignment="1">
      <alignment horizontal="center" vertical="center"/>
      <protection/>
    </xf>
    <xf numFmtId="0" fontId="25" fillId="0" borderId="48" xfId="53" applyFont="1" applyBorder="1" applyAlignment="1">
      <alignment horizontal="center" vertical="center"/>
      <protection/>
    </xf>
    <xf numFmtId="0" fontId="25" fillId="0" borderId="53" xfId="53" applyFont="1" applyBorder="1" applyAlignment="1">
      <alignment horizontal="center" vertical="center"/>
      <protection/>
    </xf>
    <xf numFmtId="0" fontId="25" fillId="0" borderId="29" xfId="53" applyFont="1" applyBorder="1" applyAlignment="1">
      <alignment horizontal="center" vertical="center" wrapText="1"/>
      <protection/>
    </xf>
    <xf numFmtId="0" fontId="25" fillId="0" borderId="48" xfId="53" applyFont="1" applyBorder="1" applyAlignment="1">
      <alignment horizontal="center" vertical="center" wrapText="1"/>
      <protection/>
    </xf>
    <xf numFmtId="0" fontId="25" fillId="0" borderId="53" xfId="53" applyFont="1" applyBorder="1" applyAlignment="1">
      <alignment horizontal="center" vertical="center" wrapText="1"/>
      <protection/>
    </xf>
    <xf numFmtId="0" fontId="27" fillId="0" borderId="0" xfId="53" applyFont="1" applyAlignment="1">
      <alignment horizontal="center" wrapText="1"/>
      <protection/>
    </xf>
    <xf numFmtId="0" fontId="27" fillId="0" borderId="0" xfId="53" applyAlignment="1">
      <alignment horizontal="center" wrapText="1"/>
      <protection/>
    </xf>
    <xf numFmtId="0" fontId="25" fillId="28" borderId="29" xfId="53" applyFont="1" applyFill="1" applyBorder="1" applyAlignment="1">
      <alignment horizontal="center" vertical="center" wrapText="1"/>
      <protection/>
    </xf>
    <xf numFmtId="0" fontId="25" fillId="28" borderId="48" xfId="53" applyFont="1" applyFill="1" applyBorder="1" applyAlignment="1">
      <alignment horizontal="center" vertical="center" wrapText="1"/>
      <protection/>
    </xf>
    <xf numFmtId="0" fontId="25" fillId="28" borderId="53" xfId="53" applyFont="1" applyFill="1" applyBorder="1" applyAlignment="1">
      <alignment horizontal="center" vertical="center" wrapText="1"/>
      <protection/>
    </xf>
    <xf numFmtId="0" fontId="25" fillId="28" borderId="29" xfId="53" applyFont="1" applyFill="1" applyBorder="1" applyAlignment="1">
      <alignment horizontal="center" vertical="center"/>
      <protection/>
    </xf>
    <xf numFmtId="0" fontId="25" fillId="28" borderId="48" xfId="53" applyFont="1" applyFill="1" applyBorder="1" applyAlignment="1">
      <alignment horizontal="center" vertical="center"/>
      <protection/>
    </xf>
    <xf numFmtId="0" fontId="25" fillId="28" borderId="53" xfId="53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2" fontId="5" fillId="0" borderId="43" xfId="0" applyNumberFormat="1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0;&#1088;&#1086;&#1085;&#1086;&#1074;&#1072;%202019\&#1058;&#1040;&#1056;&#1048;&#1060;\&#1090;&#1072;&#1088;&#1080;&#1092;%202019%20&#1080;&#1102;&#1083;&#1100;\&#1087;&#1088;&#1080;&#1074;&#1077;&#1079;&#1083;&#1072;%20&#1089;%20&#1083;&#1086;&#1079;&#1086;&#1074;&#1086;&#1081;\&#1050;&#1056;&#1040;&#1057;&#1053;&#1054;&#1043;&#1056;&#1040;&#1044;%20&#1076;&#1083;&#1103;%20&#1086;&#1073;&#1088;&#1072;&#1079;&#1094;&#1072;\&#1050;&#1086;&#1087;&#1080;&#1103;%202&#1058;&#1072;&#1073;&#1083;&#1080;&#1094;&#1099;%20&#1090;&#1072;&#1088;&#1080;&#1092;&#1072;%20&#1053;&#1050;&#1056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ічний план 2"/>
      <sheetName val="Виробництво 3"/>
      <sheetName val="Транспортування 4"/>
      <sheetName val="Постачання 5"/>
      <sheetName val="Тариф на теплову енергію 6"/>
      <sheetName val="Паливо 7"/>
      <sheetName val="Електроенергія 8"/>
      <sheetName val="Загальна характеристика 9"/>
      <sheetName val="2-х ставковий тариф 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51"/>
  <sheetViews>
    <sheetView tabSelected="1" view="pageBreakPreview" zoomScale="55" zoomScaleNormal="70" zoomScaleSheetLayoutView="55" zoomScalePageLayoutView="0" workbookViewId="0" topLeftCell="A28">
      <selection activeCell="A51" sqref="A51:R51"/>
    </sheetView>
  </sheetViews>
  <sheetFormatPr defaultColWidth="9.140625" defaultRowHeight="12.75"/>
  <cols>
    <col min="1" max="1" width="5.8515625" style="24" customWidth="1"/>
    <col min="2" max="2" width="62.140625" style="25" customWidth="1"/>
    <col min="3" max="3" width="8.00390625" style="25" customWidth="1"/>
    <col min="4" max="4" width="10.140625" style="25" customWidth="1"/>
    <col min="5" max="5" width="9.00390625" style="25" customWidth="1"/>
    <col min="6" max="6" width="8.8515625" style="25" customWidth="1"/>
    <col min="7" max="7" width="8.57421875" style="25" customWidth="1"/>
    <col min="8" max="8" width="7.8515625" style="25" customWidth="1"/>
    <col min="9" max="9" width="8.7109375" style="25" customWidth="1"/>
    <col min="10" max="10" width="7.8515625" style="25" customWidth="1"/>
    <col min="11" max="11" width="8.421875" style="25" customWidth="1"/>
    <col min="12" max="12" width="7.8515625" style="25" customWidth="1"/>
    <col min="13" max="13" width="7.421875" style="25" customWidth="1"/>
    <col min="14" max="14" width="7.57421875" style="25" customWidth="1"/>
    <col min="15" max="15" width="8.7109375" style="25" customWidth="1"/>
    <col min="16" max="16" width="8.421875" style="25" customWidth="1"/>
    <col min="17" max="17" width="9.421875" style="25" customWidth="1"/>
    <col min="18" max="18" width="8.421875" style="25" customWidth="1"/>
    <col min="19" max="16384" width="9.140625" style="25" customWidth="1"/>
  </cols>
  <sheetData>
    <row r="1" ht="15.75">
      <c r="R1" s="289" t="s">
        <v>518</v>
      </c>
    </row>
    <row r="2" ht="15.75">
      <c r="R2" s="289" t="s">
        <v>519</v>
      </c>
    </row>
    <row r="3" ht="15.75">
      <c r="R3" s="289" t="s">
        <v>521</v>
      </c>
    </row>
    <row r="4" ht="15.75">
      <c r="R4" s="289" t="s">
        <v>520</v>
      </c>
    </row>
    <row r="5" spans="1:18" ht="34.5" customHeight="1">
      <c r="A5" s="316"/>
      <c r="B5" s="316"/>
      <c r="C5" s="312"/>
      <c r="D5" s="312"/>
      <c r="E5" s="312"/>
      <c r="F5" s="312"/>
      <c r="G5" s="312"/>
      <c r="H5" s="21"/>
      <c r="I5" s="21"/>
      <c r="J5" s="21"/>
      <c r="K5" s="21"/>
      <c r="L5" s="21"/>
      <c r="M5" s="315" t="s">
        <v>514</v>
      </c>
      <c r="N5" s="315"/>
      <c r="O5" s="315"/>
      <c r="P5" s="315"/>
      <c r="Q5" s="315"/>
      <c r="R5" s="315"/>
    </row>
    <row r="6" spans="1:18" ht="37.5" customHeight="1">
      <c r="A6" s="317"/>
      <c r="B6" s="317"/>
      <c r="C6" s="309"/>
      <c r="D6" s="309"/>
      <c r="E6" s="309"/>
      <c r="F6" s="309"/>
      <c r="G6" s="309"/>
      <c r="H6" s="20"/>
      <c r="I6" s="20"/>
      <c r="J6" s="20"/>
      <c r="K6" s="20"/>
      <c r="L6" s="20"/>
      <c r="M6" s="315"/>
      <c r="N6" s="315"/>
      <c r="O6" s="315"/>
      <c r="P6" s="315"/>
      <c r="Q6" s="315"/>
      <c r="R6" s="315"/>
    </row>
    <row r="7" spans="1:18" ht="21" customHeight="1">
      <c r="A7" s="312"/>
      <c r="B7" s="312"/>
      <c r="C7" s="21"/>
      <c r="D7" s="21"/>
      <c r="E7" s="21"/>
      <c r="F7" s="21"/>
      <c r="G7" s="21"/>
      <c r="H7" s="21"/>
      <c r="I7" s="21"/>
      <c r="J7" s="21"/>
      <c r="K7" s="21"/>
      <c r="L7" s="21"/>
      <c r="M7" s="315"/>
      <c r="N7" s="315"/>
      <c r="O7" s="315"/>
      <c r="P7" s="315"/>
      <c r="Q7" s="315"/>
      <c r="R7" s="315"/>
    </row>
    <row r="8" spans="1:18" ht="37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18" customHeight="1">
      <c r="A9" s="318" t="s">
        <v>517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</row>
    <row r="10" spans="1:18" ht="9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</row>
    <row r="11" spans="1:18" ht="19.5" customHeight="1">
      <c r="A11" s="313" t="s">
        <v>327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</row>
    <row r="12" spans="1:18" ht="8.25" customHeight="1" thickBot="1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</row>
    <row r="13" spans="1:18" ht="36.75" customHeight="1">
      <c r="A13" s="323" t="s">
        <v>1</v>
      </c>
      <c r="B13" s="310" t="s">
        <v>2</v>
      </c>
      <c r="C13" s="310" t="s">
        <v>3</v>
      </c>
      <c r="D13" s="310" t="s">
        <v>390</v>
      </c>
      <c r="E13" s="310" t="s">
        <v>387</v>
      </c>
      <c r="F13" s="310" t="s">
        <v>510</v>
      </c>
      <c r="G13" s="310" t="s">
        <v>391</v>
      </c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9"/>
    </row>
    <row r="14" spans="1:18" ht="30.75" customHeight="1">
      <c r="A14" s="324"/>
      <c r="B14" s="311"/>
      <c r="C14" s="311"/>
      <c r="D14" s="311"/>
      <c r="E14" s="311"/>
      <c r="F14" s="311"/>
      <c r="G14" s="123" t="s">
        <v>4</v>
      </c>
      <c r="H14" s="123" t="s">
        <v>5</v>
      </c>
      <c r="I14" s="123" t="s">
        <v>6</v>
      </c>
      <c r="J14" s="123" t="s">
        <v>7</v>
      </c>
      <c r="K14" s="123" t="s">
        <v>8</v>
      </c>
      <c r="L14" s="123" t="s">
        <v>9</v>
      </c>
      <c r="M14" s="123" t="s">
        <v>10</v>
      </c>
      <c r="N14" s="123" t="s">
        <v>11</v>
      </c>
      <c r="O14" s="123" t="s">
        <v>12</v>
      </c>
      <c r="P14" s="123" t="s">
        <v>13</v>
      </c>
      <c r="Q14" s="123" t="s">
        <v>14</v>
      </c>
      <c r="R14" s="124" t="s">
        <v>15</v>
      </c>
    </row>
    <row r="15" spans="1:18" ht="13.5" customHeight="1">
      <c r="A15" s="324"/>
      <c r="B15" s="311"/>
      <c r="C15" s="311"/>
      <c r="D15" s="311"/>
      <c r="E15" s="311"/>
      <c r="F15" s="311"/>
      <c r="G15" s="122" t="s">
        <v>16</v>
      </c>
      <c r="H15" s="122" t="s">
        <v>16</v>
      </c>
      <c r="I15" s="122" t="s">
        <v>16</v>
      </c>
      <c r="J15" s="122" t="s">
        <v>16</v>
      </c>
      <c r="K15" s="122" t="s">
        <v>16</v>
      </c>
      <c r="L15" s="122" t="s">
        <v>16</v>
      </c>
      <c r="M15" s="122" t="s">
        <v>16</v>
      </c>
      <c r="N15" s="122" t="s">
        <v>16</v>
      </c>
      <c r="O15" s="122" t="s">
        <v>16</v>
      </c>
      <c r="P15" s="122" t="s">
        <v>16</v>
      </c>
      <c r="Q15" s="122" t="s">
        <v>16</v>
      </c>
      <c r="R15" s="125" t="s">
        <v>16</v>
      </c>
    </row>
    <row r="16" spans="1:18" ht="12.75">
      <c r="A16" s="126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>
        <v>12</v>
      </c>
      <c r="M16" s="32">
        <v>13</v>
      </c>
      <c r="N16" s="32">
        <v>14</v>
      </c>
      <c r="O16" s="32">
        <v>15</v>
      </c>
      <c r="P16" s="32">
        <v>16</v>
      </c>
      <c r="Q16" s="32">
        <v>17</v>
      </c>
      <c r="R16" s="127">
        <v>18</v>
      </c>
    </row>
    <row r="17" spans="1:18" ht="25.5" customHeight="1">
      <c r="A17" s="128" t="s">
        <v>427</v>
      </c>
      <c r="B17" s="116" t="s">
        <v>17</v>
      </c>
      <c r="C17" s="216" t="s">
        <v>18</v>
      </c>
      <c r="D17" s="217">
        <v>36601.895</v>
      </c>
      <c r="E17" s="217">
        <v>34746.77</v>
      </c>
      <c r="F17" s="218">
        <f>SUM(G17:R17)</f>
        <v>49356.780999999995</v>
      </c>
      <c r="G17" s="217">
        <v>11664.742</v>
      </c>
      <c r="H17" s="217">
        <v>9171.873</v>
      </c>
      <c r="I17" s="217">
        <v>7550.838</v>
      </c>
      <c r="J17" s="217">
        <v>997.819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2066.193</v>
      </c>
      <c r="Q17" s="217">
        <v>8063.187</v>
      </c>
      <c r="R17" s="219">
        <v>9842.129</v>
      </c>
    </row>
    <row r="18" spans="1:18" ht="14.25" customHeight="1">
      <c r="A18" s="126" t="s">
        <v>19</v>
      </c>
      <c r="B18" s="130" t="s">
        <v>415</v>
      </c>
      <c r="C18" s="32" t="s">
        <v>18</v>
      </c>
      <c r="D18" s="72">
        <v>591.272</v>
      </c>
      <c r="E18" s="72">
        <v>457.38</v>
      </c>
      <c r="F18" s="138">
        <f>SUM(G18:R18)</f>
        <v>2235.4919999999997</v>
      </c>
      <c r="G18" s="114">
        <v>438.449</v>
      </c>
      <c r="H18" s="114">
        <v>345.052</v>
      </c>
      <c r="I18" s="114">
        <v>401.13</v>
      </c>
      <c r="J18" s="114">
        <v>102.13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150.464</v>
      </c>
      <c r="Q18" s="114">
        <v>428.207</v>
      </c>
      <c r="R18" s="131">
        <v>370.06</v>
      </c>
    </row>
    <row r="19" spans="1:18" ht="12.75">
      <c r="A19" s="126" t="s">
        <v>20</v>
      </c>
      <c r="B19" s="113" t="s">
        <v>21</v>
      </c>
      <c r="C19" s="32" t="s">
        <v>18</v>
      </c>
      <c r="D19" s="72">
        <f>D17-D18</f>
        <v>36010.623</v>
      </c>
      <c r="E19" s="72">
        <f>E17-E18</f>
        <v>34289.39</v>
      </c>
      <c r="F19" s="138">
        <f>F17-F18</f>
        <v>47121.289</v>
      </c>
      <c r="G19" s="114">
        <f aca="true" t="shared" si="0" ref="G19:R19">G17-G18</f>
        <v>11226.293</v>
      </c>
      <c r="H19" s="114">
        <f t="shared" si="0"/>
        <v>8826.821</v>
      </c>
      <c r="I19" s="114">
        <f t="shared" si="0"/>
        <v>7149.708</v>
      </c>
      <c r="J19" s="114">
        <f t="shared" si="0"/>
        <v>895.689</v>
      </c>
      <c r="K19" s="114">
        <f t="shared" si="0"/>
        <v>0</v>
      </c>
      <c r="L19" s="114">
        <f t="shared" si="0"/>
        <v>0</v>
      </c>
      <c r="M19" s="114">
        <f t="shared" si="0"/>
        <v>0</v>
      </c>
      <c r="N19" s="114">
        <f t="shared" si="0"/>
        <v>0</v>
      </c>
      <c r="O19" s="114">
        <f t="shared" si="0"/>
        <v>0</v>
      </c>
      <c r="P19" s="114">
        <f t="shared" si="0"/>
        <v>1915.7290000000003</v>
      </c>
      <c r="Q19" s="114">
        <f t="shared" si="0"/>
        <v>7634.98</v>
      </c>
      <c r="R19" s="131">
        <f t="shared" si="0"/>
        <v>9472.069000000001</v>
      </c>
    </row>
    <row r="20" spans="1:18" ht="26.25" customHeight="1">
      <c r="A20" s="128" t="s">
        <v>417</v>
      </c>
      <c r="B20" s="116" t="s">
        <v>418</v>
      </c>
      <c r="C20" s="216" t="s">
        <v>18</v>
      </c>
      <c r="D20" s="217">
        <v>0</v>
      </c>
      <c r="E20" s="217">
        <v>0</v>
      </c>
      <c r="F20" s="218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9">
        <v>0</v>
      </c>
    </row>
    <row r="21" spans="1:18" ht="17.25" customHeight="1">
      <c r="A21" s="126" t="s">
        <v>22</v>
      </c>
      <c r="B21" s="113" t="s">
        <v>23</v>
      </c>
      <c r="C21" s="32" t="s">
        <v>18</v>
      </c>
      <c r="D21" s="72">
        <v>0</v>
      </c>
      <c r="E21" s="72">
        <v>0</v>
      </c>
      <c r="F21" s="137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129">
        <v>0</v>
      </c>
    </row>
    <row r="22" spans="1:18" ht="28.5" customHeight="1">
      <c r="A22" s="126" t="s">
        <v>24</v>
      </c>
      <c r="B22" s="115" t="s">
        <v>430</v>
      </c>
      <c r="C22" s="32" t="s">
        <v>18</v>
      </c>
      <c r="D22" s="72">
        <v>0</v>
      </c>
      <c r="E22" s="72">
        <v>0</v>
      </c>
      <c r="F22" s="137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129">
        <v>0</v>
      </c>
    </row>
    <row r="23" spans="1:18" ht="25.5">
      <c r="A23" s="128" t="s">
        <v>350</v>
      </c>
      <c r="B23" s="116" t="s">
        <v>428</v>
      </c>
      <c r="C23" s="216" t="s">
        <v>18</v>
      </c>
      <c r="D23" s="217">
        <f>D17</f>
        <v>36601.895</v>
      </c>
      <c r="E23" s="217">
        <f>E17</f>
        <v>34746.77</v>
      </c>
      <c r="F23" s="218">
        <f>F17</f>
        <v>49356.780999999995</v>
      </c>
      <c r="G23" s="217">
        <f aca="true" t="shared" si="1" ref="G23:R23">G17</f>
        <v>11664.742</v>
      </c>
      <c r="H23" s="217">
        <f t="shared" si="1"/>
        <v>9171.873</v>
      </c>
      <c r="I23" s="217">
        <f t="shared" si="1"/>
        <v>7550.838</v>
      </c>
      <c r="J23" s="217">
        <f t="shared" si="1"/>
        <v>997.819</v>
      </c>
      <c r="K23" s="217">
        <f t="shared" si="1"/>
        <v>0</v>
      </c>
      <c r="L23" s="217">
        <f t="shared" si="1"/>
        <v>0</v>
      </c>
      <c r="M23" s="217">
        <f t="shared" si="1"/>
        <v>0</v>
      </c>
      <c r="N23" s="217">
        <f t="shared" si="1"/>
        <v>0</v>
      </c>
      <c r="O23" s="217">
        <f t="shared" si="1"/>
        <v>0</v>
      </c>
      <c r="P23" s="217">
        <f t="shared" si="1"/>
        <v>2066.193</v>
      </c>
      <c r="Q23" s="217">
        <f t="shared" si="1"/>
        <v>8063.187</v>
      </c>
      <c r="R23" s="219">
        <f t="shared" si="1"/>
        <v>9842.129</v>
      </c>
    </row>
    <row r="24" spans="1:18" ht="27" customHeight="1">
      <c r="A24" s="128" t="s">
        <v>351</v>
      </c>
      <c r="B24" s="116" t="s">
        <v>419</v>
      </c>
      <c r="C24" s="216" t="s">
        <v>18</v>
      </c>
      <c r="D24" s="217">
        <v>4192.674</v>
      </c>
      <c r="E24" s="217">
        <v>3742.323</v>
      </c>
      <c r="F24" s="218">
        <f>SUM(G24:R24)</f>
        <v>5745.842999999999</v>
      </c>
      <c r="G24" s="217">
        <v>1357.945</v>
      </c>
      <c r="H24" s="217">
        <v>1067.737</v>
      </c>
      <c r="I24" s="217">
        <v>879.026</v>
      </c>
      <c r="J24" s="217">
        <v>116.162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  <c r="P24" s="217">
        <v>240.536</v>
      </c>
      <c r="Q24" s="217">
        <v>938.67</v>
      </c>
      <c r="R24" s="219">
        <v>1145.767</v>
      </c>
    </row>
    <row r="25" spans="1:18" ht="12.75">
      <c r="A25" s="126"/>
      <c r="B25" s="113" t="s">
        <v>392</v>
      </c>
      <c r="C25" s="32" t="s">
        <v>25</v>
      </c>
      <c r="D25" s="72">
        <f>D24/D23*100</f>
        <v>11.4548003593803</v>
      </c>
      <c r="E25" s="72">
        <f>E24/E23*100</f>
        <v>10.770275913415837</v>
      </c>
      <c r="F25" s="137">
        <f>F24/F23*100</f>
        <v>11.641445984899217</v>
      </c>
      <c r="G25" s="72">
        <f aca="true" t="shared" si="2" ref="G25:R25">G24/G23*100</f>
        <v>11.641449077913595</v>
      </c>
      <c r="H25" s="72">
        <f t="shared" si="2"/>
        <v>11.641428092168308</v>
      </c>
      <c r="I25" s="72">
        <f t="shared" si="2"/>
        <v>11.64143635448145</v>
      </c>
      <c r="J25" s="72">
        <f t="shared" si="2"/>
        <v>11.641590308462758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f t="shared" si="2"/>
        <v>11.641506867945054</v>
      </c>
      <c r="Q25" s="72">
        <f t="shared" si="2"/>
        <v>11.641426646808513</v>
      </c>
      <c r="R25" s="129">
        <f t="shared" si="2"/>
        <v>11.641454811250696</v>
      </c>
    </row>
    <row r="26" spans="1:18" ht="29.25" customHeight="1">
      <c r="A26" s="126" t="s">
        <v>26</v>
      </c>
      <c r="B26" s="113" t="s">
        <v>420</v>
      </c>
      <c r="C26" s="32" t="s">
        <v>18</v>
      </c>
      <c r="D26" s="72">
        <v>0</v>
      </c>
      <c r="E26" s="72">
        <v>0</v>
      </c>
      <c r="F26" s="137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129">
        <v>0</v>
      </c>
    </row>
    <row r="27" spans="1:18" ht="12.75">
      <c r="A27" s="126"/>
      <c r="B27" s="113" t="s">
        <v>393</v>
      </c>
      <c r="C27" s="32" t="s">
        <v>25</v>
      </c>
      <c r="D27" s="72">
        <v>0</v>
      </c>
      <c r="E27" s="72">
        <v>0</v>
      </c>
      <c r="F27" s="137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129">
        <v>0</v>
      </c>
    </row>
    <row r="28" spans="1:18" ht="25.5">
      <c r="A28" s="128" t="s">
        <v>352</v>
      </c>
      <c r="B28" s="116" t="s">
        <v>421</v>
      </c>
      <c r="C28" s="216" t="s">
        <v>18</v>
      </c>
      <c r="D28" s="217">
        <v>32409.221</v>
      </c>
      <c r="E28" s="217">
        <v>31004.447</v>
      </c>
      <c r="F28" s="218">
        <f>SUM(G28:R28)</f>
        <v>43610.938</v>
      </c>
      <c r="G28" s="217">
        <v>10306.797</v>
      </c>
      <c r="H28" s="217">
        <v>8104.136</v>
      </c>
      <c r="I28" s="217">
        <v>6671.812</v>
      </c>
      <c r="J28" s="217">
        <v>881.657</v>
      </c>
      <c r="K28" s="217">
        <v>0</v>
      </c>
      <c r="L28" s="217">
        <v>0</v>
      </c>
      <c r="M28" s="217">
        <v>0</v>
      </c>
      <c r="N28" s="217">
        <v>0</v>
      </c>
      <c r="O28" s="217">
        <v>0</v>
      </c>
      <c r="P28" s="217">
        <v>1825.657</v>
      </c>
      <c r="Q28" s="217">
        <v>7124.517</v>
      </c>
      <c r="R28" s="219">
        <v>8696.362</v>
      </c>
    </row>
    <row r="29" spans="1:18" ht="13.5" customHeight="1">
      <c r="A29" s="126" t="s">
        <v>27</v>
      </c>
      <c r="B29" s="113" t="s">
        <v>28</v>
      </c>
      <c r="C29" s="32" t="s">
        <v>18</v>
      </c>
      <c r="D29" s="72">
        <v>0</v>
      </c>
      <c r="E29" s="72">
        <v>0</v>
      </c>
      <c r="F29" s="137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129">
        <v>0</v>
      </c>
    </row>
    <row r="30" spans="1:18" ht="28.5" customHeight="1">
      <c r="A30" s="126" t="s">
        <v>29</v>
      </c>
      <c r="B30" s="121" t="s">
        <v>422</v>
      </c>
      <c r="C30" s="32" t="s">
        <v>18</v>
      </c>
      <c r="D30" s="72">
        <v>0</v>
      </c>
      <c r="E30" s="72">
        <v>0</v>
      </c>
      <c r="F30" s="137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129">
        <v>0</v>
      </c>
    </row>
    <row r="31" spans="1:18" ht="26.25" customHeight="1">
      <c r="A31" s="126" t="s">
        <v>30</v>
      </c>
      <c r="B31" s="113" t="s">
        <v>424</v>
      </c>
      <c r="C31" s="32" t="s">
        <v>18</v>
      </c>
      <c r="D31" s="72">
        <f>D28</f>
        <v>32409.221</v>
      </c>
      <c r="E31" s="72">
        <f>E28</f>
        <v>31004.447</v>
      </c>
      <c r="F31" s="137">
        <f>F28</f>
        <v>43610.938</v>
      </c>
      <c r="G31" s="72">
        <f aca="true" t="shared" si="3" ref="G31:R31">G28</f>
        <v>10306.797</v>
      </c>
      <c r="H31" s="72">
        <f t="shared" si="3"/>
        <v>8104.136</v>
      </c>
      <c r="I31" s="72">
        <f t="shared" si="3"/>
        <v>6671.812</v>
      </c>
      <c r="J31" s="72">
        <f t="shared" si="3"/>
        <v>881.657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f t="shared" si="3"/>
        <v>1825.657</v>
      </c>
      <c r="Q31" s="72">
        <f t="shared" si="3"/>
        <v>7124.517</v>
      </c>
      <c r="R31" s="129">
        <f t="shared" si="3"/>
        <v>8696.362</v>
      </c>
    </row>
    <row r="32" spans="1:18" ht="12.75">
      <c r="A32" s="126" t="s">
        <v>31</v>
      </c>
      <c r="B32" s="113" t="s">
        <v>32</v>
      </c>
      <c r="C32" s="32" t="s">
        <v>18</v>
      </c>
      <c r="D32" s="72">
        <v>21081.704</v>
      </c>
      <c r="E32" s="72">
        <v>20148.948</v>
      </c>
      <c r="F32" s="137">
        <f>SUM(G32:R32)</f>
        <v>24421.961000000003</v>
      </c>
      <c r="G32" s="72">
        <v>5771.769</v>
      </c>
      <c r="H32" s="72">
        <v>4538.286</v>
      </c>
      <c r="I32" s="72">
        <v>3736.189</v>
      </c>
      <c r="J32" s="72">
        <v>493.725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1022.36</v>
      </c>
      <c r="Q32" s="72">
        <v>3989.702</v>
      </c>
      <c r="R32" s="129">
        <v>4869.93</v>
      </c>
    </row>
    <row r="33" spans="1:18" ht="12.75">
      <c r="A33" s="126"/>
      <c r="B33" s="113" t="s">
        <v>394</v>
      </c>
      <c r="C33" s="32" t="s">
        <v>25</v>
      </c>
      <c r="D33" s="72">
        <f>D32/D31*100</f>
        <v>65.0484749386602</v>
      </c>
      <c r="E33" s="72">
        <f>E32/E31*100</f>
        <v>64.98728392091625</v>
      </c>
      <c r="F33" s="137">
        <f>F32/F31*100</f>
        <v>55.999623305511115</v>
      </c>
      <c r="G33" s="72">
        <f aca="true" t="shared" si="4" ref="G33:R33">G32/G31*100</f>
        <v>55.99963790884792</v>
      </c>
      <c r="H33" s="72">
        <f t="shared" si="4"/>
        <v>55.999627844350094</v>
      </c>
      <c r="I33" s="72">
        <f t="shared" si="4"/>
        <v>55.9996144975308</v>
      </c>
      <c r="J33" s="72">
        <f t="shared" si="4"/>
        <v>55.99966880544248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f t="shared" si="4"/>
        <v>55.99956618357118</v>
      </c>
      <c r="Q33" s="72">
        <f t="shared" si="4"/>
        <v>55.999613728200806</v>
      </c>
      <c r="R33" s="129">
        <f t="shared" si="4"/>
        <v>55.99962375071323</v>
      </c>
    </row>
    <row r="34" spans="1:18" ht="12.75">
      <c r="A34" s="126" t="s">
        <v>33</v>
      </c>
      <c r="B34" s="113" t="s">
        <v>423</v>
      </c>
      <c r="C34" s="32" t="s">
        <v>18</v>
      </c>
      <c r="D34" s="72">
        <v>9677.066</v>
      </c>
      <c r="E34" s="72">
        <v>9321.83</v>
      </c>
      <c r="F34" s="137">
        <f>SUM(G34:R34)</f>
        <v>16021.326000000001</v>
      </c>
      <c r="G34" s="72">
        <v>3786.401</v>
      </c>
      <c r="H34" s="72">
        <v>2977.211</v>
      </c>
      <c r="I34" s="72">
        <v>2451.021</v>
      </c>
      <c r="J34" s="72">
        <v>323.893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670.691</v>
      </c>
      <c r="Q34" s="72">
        <v>2617.33</v>
      </c>
      <c r="R34" s="129">
        <v>3194.779</v>
      </c>
    </row>
    <row r="35" spans="1:18" ht="12.75">
      <c r="A35" s="126"/>
      <c r="B35" s="113" t="s">
        <v>395</v>
      </c>
      <c r="C35" s="32" t="s">
        <v>25</v>
      </c>
      <c r="D35" s="72">
        <f>D34/D31*100</f>
        <v>29.858989822680403</v>
      </c>
      <c r="E35" s="72">
        <f>E34/E31*100</f>
        <v>30.066106323392898</v>
      </c>
      <c r="F35" s="137">
        <f>F34/F31*100</f>
        <v>36.73694429594704</v>
      </c>
      <c r="G35" s="72">
        <f aca="true" t="shared" si="5" ref="G35:R35">G34/G31*100</f>
        <v>36.73693194888771</v>
      </c>
      <c r="H35" s="72">
        <f t="shared" si="5"/>
        <v>36.73693284515462</v>
      </c>
      <c r="I35" s="72">
        <f t="shared" si="5"/>
        <v>36.73696141318131</v>
      </c>
      <c r="J35" s="72">
        <f t="shared" si="5"/>
        <v>36.736848910630776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f t="shared" si="5"/>
        <v>36.73696647289168</v>
      </c>
      <c r="Q35" s="72">
        <f t="shared" si="5"/>
        <v>36.73694651862014</v>
      </c>
      <c r="R35" s="129">
        <f t="shared" si="5"/>
        <v>36.736959661982795</v>
      </c>
    </row>
    <row r="36" spans="1:18" ht="12.75">
      <c r="A36" s="126" t="s">
        <v>34</v>
      </c>
      <c r="B36" s="113" t="s">
        <v>35</v>
      </c>
      <c r="C36" s="32" t="s">
        <v>18</v>
      </c>
      <c r="D36" s="72">
        <v>1650.451</v>
      </c>
      <c r="E36" s="72">
        <v>1533.669</v>
      </c>
      <c r="F36" s="137">
        <f>SUM(G36:R36)</f>
        <v>3167.649</v>
      </c>
      <c r="G36" s="72">
        <v>748.627</v>
      </c>
      <c r="H36" s="72">
        <v>588.638</v>
      </c>
      <c r="I36" s="72">
        <v>484.602</v>
      </c>
      <c r="J36" s="72">
        <v>64.039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132.605</v>
      </c>
      <c r="Q36" s="72">
        <v>517.484</v>
      </c>
      <c r="R36" s="129">
        <v>631.654</v>
      </c>
    </row>
    <row r="37" spans="1:18" ht="12.75">
      <c r="A37" s="126"/>
      <c r="B37" s="113" t="s">
        <v>395</v>
      </c>
      <c r="C37" s="32" t="s">
        <v>25</v>
      </c>
      <c r="D37" s="72">
        <f>D36/D31*100</f>
        <v>5.0925352386593925</v>
      </c>
      <c r="E37" s="72">
        <f>E36/E31*100</f>
        <v>4.9466097556908535</v>
      </c>
      <c r="F37" s="137">
        <f>F36/F31*100</f>
        <v>7.263427812536387</v>
      </c>
      <c r="G37" s="72">
        <f aca="true" t="shared" si="6" ref="G37:R37">G36/G31*100</f>
        <v>7.263430142264371</v>
      </c>
      <c r="H37" s="72">
        <f t="shared" si="6"/>
        <v>7.263426971116971</v>
      </c>
      <c r="I37" s="72">
        <f t="shared" si="6"/>
        <v>7.263424089287887</v>
      </c>
      <c r="J37" s="72">
        <f t="shared" si="6"/>
        <v>7.263482283926742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f t="shared" si="6"/>
        <v>7.2634125687355295</v>
      </c>
      <c r="Q37" s="72">
        <f t="shared" si="6"/>
        <v>7.263425717139843</v>
      </c>
      <c r="R37" s="129">
        <f t="shared" si="6"/>
        <v>7.263428086365311</v>
      </c>
    </row>
    <row r="38" spans="1:18" ht="26.25" customHeight="1">
      <c r="A38" s="128" t="s">
        <v>354</v>
      </c>
      <c r="B38" s="116" t="s">
        <v>425</v>
      </c>
      <c r="C38" s="216" t="s">
        <v>36</v>
      </c>
      <c r="D38" s="217">
        <v>24.7034</v>
      </c>
      <c r="E38" s="217">
        <v>24.683</v>
      </c>
      <c r="F38" s="218">
        <f>F39+F40+F41</f>
        <v>24.7379</v>
      </c>
      <c r="G38" s="217">
        <f>F38</f>
        <v>24.7379</v>
      </c>
      <c r="H38" s="217">
        <f aca="true" t="shared" si="7" ref="H38:R38">G38</f>
        <v>24.7379</v>
      </c>
      <c r="I38" s="217">
        <f t="shared" si="7"/>
        <v>24.7379</v>
      </c>
      <c r="J38" s="217">
        <f t="shared" si="7"/>
        <v>24.7379</v>
      </c>
      <c r="K38" s="217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f>J38</f>
        <v>24.7379</v>
      </c>
      <c r="Q38" s="217">
        <f t="shared" si="7"/>
        <v>24.7379</v>
      </c>
      <c r="R38" s="219">
        <f t="shared" si="7"/>
        <v>24.7379</v>
      </c>
    </row>
    <row r="39" spans="1:18" ht="20.25" customHeight="1">
      <c r="A39" s="126" t="s">
        <v>37</v>
      </c>
      <c r="B39" s="113" t="s">
        <v>38</v>
      </c>
      <c r="C39" s="32" t="s">
        <v>36</v>
      </c>
      <c r="D39" s="72">
        <v>13.8672</v>
      </c>
      <c r="E39" s="72">
        <v>13.8672</v>
      </c>
      <c r="F39" s="137">
        <v>13.8534</v>
      </c>
      <c r="G39" s="72">
        <v>13.8534</v>
      </c>
      <c r="H39" s="72">
        <v>13.8534</v>
      </c>
      <c r="I39" s="72">
        <v>13.8534</v>
      </c>
      <c r="J39" s="72">
        <v>13.8534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13.8534</v>
      </c>
      <c r="Q39" s="72">
        <v>13.8534</v>
      </c>
      <c r="R39" s="129">
        <v>13.8534</v>
      </c>
    </row>
    <row r="40" spans="1:18" ht="18" customHeight="1">
      <c r="A40" s="126" t="s">
        <v>39</v>
      </c>
      <c r="B40" s="113" t="s">
        <v>40</v>
      </c>
      <c r="C40" s="32" t="s">
        <v>36</v>
      </c>
      <c r="D40" s="72">
        <v>8.9517</v>
      </c>
      <c r="E40" s="72">
        <v>9.1103</v>
      </c>
      <c r="F40" s="137">
        <v>9.0883</v>
      </c>
      <c r="G40" s="72">
        <v>9.0883</v>
      </c>
      <c r="H40" s="72">
        <v>9.0883</v>
      </c>
      <c r="I40" s="72">
        <v>9.0883</v>
      </c>
      <c r="J40" s="72">
        <v>9.0883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9.0883</v>
      </c>
      <c r="Q40" s="72">
        <v>9.0883</v>
      </c>
      <c r="R40" s="129">
        <v>9.0883</v>
      </c>
    </row>
    <row r="41" spans="1:18" ht="13.5" customHeight="1">
      <c r="A41" s="126" t="s">
        <v>41</v>
      </c>
      <c r="B41" s="113" t="s">
        <v>42</v>
      </c>
      <c r="C41" s="32" t="s">
        <v>36</v>
      </c>
      <c r="D41" s="72">
        <v>1.8845</v>
      </c>
      <c r="E41" s="72">
        <v>1.7055</v>
      </c>
      <c r="F41" s="137">
        <v>1.7962</v>
      </c>
      <c r="G41" s="72">
        <v>1.7962</v>
      </c>
      <c r="H41" s="72">
        <v>1.7962</v>
      </c>
      <c r="I41" s="72">
        <v>1.7962</v>
      </c>
      <c r="J41" s="72">
        <v>1.7962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1.7962</v>
      </c>
      <c r="Q41" s="72">
        <v>1.7962</v>
      </c>
      <c r="R41" s="129">
        <v>1.7962</v>
      </c>
    </row>
    <row r="42" spans="1:18" ht="25.5">
      <c r="A42" s="215">
        <v>7</v>
      </c>
      <c r="B42" s="214" t="s">
        <v>426</v>
      </c>
      <c r="C42" s="216" t="s">
        <v>18</v>
      </c>
      <c r="D42" s="217">
        <v>36601.895</v>
      </c>
      <c r="E42" s="217">
        <v>34746.77</v>
      </c>
      <c r="F42" s="218">
        <f>SUM(G42:R42)</f>
        <v>49356.780999999995</v>
      </c>
      <c r="G42" s="217">
        <v>11664.742</v>
      </c>
      <c r="H42" s="217">
        <v>9171.873</v>
      </c>
      <c r="I42" s="217">
        <v>7550.838</v>
      </c>
      <c r="J42" s="217">
        <v>997.819</v>
      </c>
      <c r="K42" s="217">
        <v>0</v>
      </c>
      <c r="L42" s="217">
        <v>0</v>
      </c>
      <c r="M42" s="217">
        <v>0</v>
      </c>
      <c r="N42" s="217">
        <v>0</v>
      </c>
      <c r="O42" s="217">
        <v>0</v>
      </c>
      <c r="P42" s="217">
        <v>2066.193</v>
      </c>
      <c r="Q42" s="217">
        <v>8063.187</v>
      </c>
      <c r="R42" s="219">
        <v>9842.129</v>
      </c>
    </row>
    <row r="43" spans="1:18" ht="12.75">
      <c r="A43" s="132">
        <v>7.1</v>
      </c>
      <c r="B43" s="117" t="s">
        <v>396</v>
      </c>
      <c r="C43" s="32" t="s">
        <v>18</v>
      </c>
      <c r="D43" s="140">
        <f>SUM(D44,D45,D46)</f>
        <v>36601.895</v>
      </c>
      <c r="E43" s="139">
        <f>SUM(E44,E45,E46)</f>
        <v>34746.77</v>
      </c>
      <c r="F43" s="147">
        <f>SUM(F44,F45,F46)</f>
        <v>49356.77970000001</v>
      </c>
      <c r="G43" s="117">
        <f>SUM(G44:G46)</f>
        <v>11664.742</v>
      </c>
      <c r="H43" s="117">
        <f aca="true" t="shared" si="8" ref="H43:R43">SUM(H44:H46)</f>
        <v>9171.873</v>
      </c>
      <c r="I43" s="117">
        <f t="shared" si="8"/>
        <v>7550.838000000001</v>
      </c>
      <c r="J43" s="117">
        <f t="shared" si="8"/>
        <v>997.819</v>
      </c>
      <c r="K43" s="140">
        <f t="shared" si="8"/>
        <v>0</v>
      </c>
      <c r="L43" s="140">
        <f t="shared" si="8"/>
        <v>0</v>
      </c>
      <c r="M43" s="140">
        <f t="shared" si="8"/>
        <v>0</v>
      </c>
      <c r="N43" s="140">
        <f t="shared" si="8"/>
        <v>0</v>
      </c>
      <c r="O43" s="140">
        <f t="shared" si="8"/>
        <v>0</v>
      </c>
      <c r="P43" s="117">
        <f t="shared" si="8"/>
        <v>2066.193</v>
      </c>
      <c r="Q43" s="117">
        <f t="shared" si="8"/>
        <v>8063.187</v>
      </c>
      <c r="R43" s="144">
        <f t="shared" si="8"/>
        <v>9842.129</v>
      </c>
    </row>
    <row r="44" spans="1:18" s="120" customFormat="1" ht="12.75">
      <c r="A44" s="226" t="s">
        <v>398</v>
      </c>
      <c r="B44" s="119" t="s">
        <v>38</v>
      </c>
      <c r="C44" s="32" t="s">
        <v>18</v>
      </c>
      <c r="D44" s="140">
        <v>23830.974</v>
      </c>
      <c r="E44" s="140">
        <v>22582.738</v>
      </c>
      <c r="F44" s="148">
        <v>27639.7968</v>
      </c>
      <c r="G44" s="117">
        <f>PRODUCT(G42,0.56)</f>
        <v>6532.255520000001</v>
      </c>
      <c r="H44" s="117">
        <f>PRODUCT(H42,0.56)</f>
        <v>5136.24888</v>
      </c>
      <c r="I44" s="117">
        <f>PRODUCT(I42,0.56)</f>
        <v>4228.46928</v>
      </c>
      <c r="J44" s="117">
        <f>PRODUCT(J42,0.56)</f>
        <v>558.77864</v>
      </c>
      <c r="K44" s="140">
        <f aca="true" t="shared" si="9" ref="K44:R44">PRODUCT(K42,0.56)</f>
        <v>0</v>
      </c>
      <c r="L44" s="140">
        <f t="shared" si="9"/>
        <v>0</v>
      </c>
      <c r="M44" s="140">
        <f t="shared" si="9"/>
        <v>0</v>
      </c>
      <c r="N44" s="140">
        <f t="shared" si="9"/>
        <v>0</v>
      </c>
      <c r="O44" s="140">
        <f t="shared" si="9"/>
        <v>0</v>
      </c>
      <c r="P44" s="117">
        <f t="shared" si="9"/>
        <v>1157.0680800000002</v>
      </c>
      <c r="Q44" s="117">
        <f t="shared" si="9"/>
        <v>4515.38472</v>
      </c>
      <c r="R44" s="144">
        <f t="shared" si="9"/>
        <v>5511.592240000001</v>
      </c>
    </row>
    <row r="45" spans="1:18" ht="12.75">
      <c r="A45" s="226" t="s">
        <v>397</v>
      </c>
      <c r="B45" s="118" t="s">
        <v>40</v>
      </c>
      <c r="C45" s="32" t="s">
        <v>18</v>
      </c>
      <c r="D45" s="74">
        <v>10901.226</v>
      </c>
      <c r="E45" s="74">
        <v>10445.559</v>
      </c>
      <c r="F45" s="142">
        <v>18133.6809</v>
      </c>
      <c r="G45" s="117">
        <f>PRODUCT(G42,0.3674)</f>
        <v>4285.6262108</v>
      </c>
      <c r="H45" s="117">
        <f>PRODUCT(H42,0.3674)</f>
        <v>3369.7461402</v>
      </c>
      <c r="I45" s="117">
        <f>PRODUCT(I42,0.3674)</f>
        <v>2774.1778812</v>
      </c>
      <c r="J45" s="117">
        <f>PRODUCT(J42,0.3674)</f>
        <v>366.5987006</v>
      </c>
      <c r="K45" s="140">
        <f aca="true" t="shared" si="10" ref="K45:R45">PRODUCT(K42,0.3674)</f>
        <v>0</v>
      </c>
      <c r="L45" s="140">
        <f t="shared" si="10"/>
        <v>0</v>
      </c>
      <c r="M45" s="140">
        <f t="shared" si="10"/>
        <v>0</v>
      </c>
      <c r="N45" s="140">
        <f t="shared" si="10"/>
        <v>0</v>
      </c>
      <c r="O45" s="140">
        <f t="shared" si="10"/>
        <v>0</v>
      </c>
      <c r="P45" s="117">
        <f t="shared" si="10"/>
        <v>759.1193082000001</v>
      </c>
      <c r="Q45" s="117">
        <f t="shared" si="10"/>
        <v>2962.4149038</v>
      </c>
      <c r="R45" s="243">
        <f t="shared" si="10"/>
        <v>3615.9981946000003</v>
      </c>
    </row>
    <row r="46" spans="1:18" ht="13.5" thickBot="1">
      <c r="A46" s="227" t="s">
        <v>399</v>
      </c>
      <c r="B46" s="135" t="s">
        <v>42</v>
      </c>
      <c r="C46" s="136" t="s">
        <v>18</v>
      </c>
      <c r="D46" s="141">
        <v>1869.695</v>
      </c>
      <c r="E46" s="141">
        <v>1718.473</v>
      </c>
      <c r="F46" s="245">
        <v>3583.302</v>
      </c>
      <c r="G46" s="145">
        <f>PRODUCT(G42,0.0726)</f>
        <v>846.8602692</v>
      </c>
      <c r="H46" s="145">
        <f>PRODUCT(H42,0.0726)</f>
        <v>665.8779797999999</v>
      </c>
      <c r="I46" s="145">
        <f>PRODUCT(I42,0.0726)</f>
        <v>548.1908387999999</v>
      </c>
      <c r="J46" s="145">
        <f>PRODUCT(J42,0.0726)</f>
        <v>72.44165939999999</v>
      </c>
      <c r="K46" s="161">
        <f aca="true" t="shared" si="11" ref="K46:R46">PRODUCT(K42,0.0726)</f>
        <v>0</v>
      </c>
      <c r="L46" s="161">
        <f t="shared" si="11"/>
        <v>0</v>
      </c>
      <c r="M46" s="161">
        <f t="shared" si="11"/>
        <v>0</v>
      </c>
      <c r="N46" s="161">
        <f t="shared" si="11"/>
        <v>0</v>
      </c>
      <c r="O46" s="161">
        <f t="shared" si="11"/>
        <v>0</v>
      </c>
      <c r="P46" s="145">
        <f t="shared" si="11"/>
        <v>150.0056118</v>
      </c>
      <c r="Q46" s="145">
        <f t="shared" si="11"/>
        <v>585.3873762</v>
      </c>
      <c r="R46" s="146">
        <f t="shared" si="11"/>
        <v>714.5385654</v>
      </c>
    </row>
    <row r="47" spans="1:18" ht="23.25" customHeight="1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</row>
    <row r="48" spans="1:18" ht="15.75" customHeight="1">
      <c r="A48" s="322" t="s">
        <v>513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</row>
    <row r="49" spans="1:18" ht="12.75">
      <c r="A49" s="316" t="s">
        <v>516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ht="12.75" customHeight="1"/>
    <row r="51" spans="1:18" ht="62.25" customHeight="1">
      <c r="A51" s="320"/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</row>
  </sheetData>
  <sheetProtection/>
  <mergeCells count="21">
    <mergeCell ref="C13:C15"/>
    <mergeCell ref="A9:R9"/>
    <mergeCell ref="G13:R13"/>
    <mergeCell ref="A51:R51"/>
    <mergeCell ref="A47:R47"/>
    <mergeCell ref="A48:R48"/>
    <mergeCell ref="E13:E15"/>
    <mergeCell ref="F13:F15"/>
    <mergeCell ref="A49:R49"/>
    <mergeCell ref="B13:B15"/>
    <mergeCell ref="A13:A15"/>
    <mergeCell ref="A10:R10"/>
    <mergeCell ref="D13:D15"/>
    <mergeCell ref="C5:G5"/>
    <mergeCell ref="C6:G6"/>
    <mergeCell ref="A11:R11"/>
    <mergeCell ref="A12:R12"/>
    <mergeCell ref="M5:R7"/>
    <mergeCell ref="A5:B5"/>
    <mergeCell ref="A6:B6"/>
    <mergeCell ref="A7:B7"/>
  </mergeCells>
  <printOptions horizontalCentered="1"/>
  <pageMargins left="0.31" right="0.2" top="0.2" bottom="0.22" header="0.2" footer="0.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L57"/>
  <sheetViews>
    <sheetView zoomScaleSheetLayoutView="100" zoomScalePageLayoutView="0" workbookViewId="0" topLeftCell="A45">
      <selection activeCell="A23" sqref="A23"/>
    </sheetView>
  </sheetViews>
  <sheetFormatPr defaultColWidth="9.140625" defaultRowHeight="12.75"/>
  <cols>
    <col min="1" max="1" width="38.8515625" style="27" customWidth="1"/>
    <col min="2" max="2" width="12.7109375" style="27" customWidth="1"/>
    <col min="3" max="3" width="10.28125" style="27" customWidth="1"/>
    <col min="4" max="4" width="10.421875" style="27" customWidth="1"/>
    <col min="5" max="5" width="14.7109375" style="27" customWidth="1"/>
    <col min="6" max="6" width="10.7109375" style="27" customWidth="1"/>
    <col min="7" max="7" width="11.00390625" style="27" customWidth="1"/>
    <col min="8" max="9" width="10.8515625" style="27" customWidth="1"/>
    <col min="10" max="11" width="9.57421875" style="27" bestFit="1" customWidth="1"/>
    <col min="12" max="16384" width="9.140625" style="27" customWidth="1"/>
  </cols>
  <sheetData>
    <row r="2" spans="1:9" ht="12.75" customHeight="1">
      <c r="A2" s="26"/>
      <c r="B2" s="26"/>
      <c r="C2" s="26"/>
      <c r="D2" s="26"/>
      <c r="E2" s="26"/>
      <c r="F2" s="359" t="s">
        <v>402</v>
      </c>
      <c r="G2" s="359"/>
      <c r="H2" s="359"/>
      <c r="I2" s="359"/>
    </row>
    <row r="3" spans="1:9" ht="17.25" customHeight="1">
      <c r="A3" s="26"/>
      <c r="B3" s="26"/>
      <c r="C3" s="26"/>
      <c r="D3" s="26"/>
      <c r="E3" s="26"/>
      <c r="F3" s="359"/>
      <c r="G3" s="359"/>
      <c r="H3" s="359"/>
      <c r="I3" s="359"/>
    </row>
    <row r="4" spans="1:9" ht="20.25" customHeight="1">
      <c r="A4" s="30"/>
      <c r="B4" s="30"/>
      <c r="C4" s="30"/>
      <c r="D4" s="30"/>
      <c r="E4" s="30"/>
      <c r="F4" s="359"/>
      <c r="G4" s="359"/>
      <c r="H4" s="359"/>
      <c r="I4" s="359"/>
    </row>
    <row r="5" spans="1:9" ht="18.75" customHeight="1">
      <c r="A5" s="26"/>
      <c r="B5" s="26"/>
      <c r="C5" s="26"/>
      <c r="D5" s="26"/>
      <c r="E5" s="26"/>
      <c r="F5" s="359"/>
      <c r="G5" s="359"/>
      <c r="H5" s="359"/>
      <c r="I5" s="359"/>
    </row>
    <row r="6" spans="1:9" ht="12.75" customHeight="1" hidden="1">
      <c r="A6" s="30"/>
      <c r="B6" s="30"/>
      <c r="C6" s="30"/>
      <c r="D6" s="30"/>
      <c r="E6" s="30"/>
      <c r="F6" s="359"/>
      <c r="G6" s="359"/>
      <c r="H6" s="359"/>
      <c r="I6" s="359"/>
    </row>
    <row r="7" spans="1:9" ht="12.75">
      <c r="A7" s="30"/>
      <c r="B7" s="30"/>
      <c r="C7" s="30"/>
      <c r="D7" s="30"/>
      <c r="E7" s="30"/>
      <c r="F7" s="29"/>
      <c r="G7" s="29"/>
      <c r="H7" s="29"/>
      <c r="I7" s="29"/>
    </row>
    <row r="8" spans="1:9" ht="12.75">
      <c r="A8" s="351"/>
      <c r="B8" s="351"/>
      <c r="C8" s="351"/>
      <c r="D8" s="351"/>
      <c r="E8" s="351"/>
      <c r="F8" s="351"/>
      <c r="G8" s="351"/>
      <c r="H8" s="351"/>
      <c r="I8" s="351"/>
    </row>
    <row r="9" spans="1:9" ht="12.75" customHeight="1">
      <c r="A9" s="360" t="s">
        <v>44</v>
      </c>
      <c r="B9" s="360"/>
      <c r="C9" s="360"/>
      <c r="D9" s="360"/>
      <c r="E9" s="360"/>
      <c r="F9" s="360"/>
      <c r="G9" s="360"/>
      <c r="H9" s="360"/>
      <c r="I9" s="360"/>
    </row>
    <row r="10" spans="1:9" ht="28.5" customHeight="1">
      <c r="A10" s="360" t="s">
        <v>433</v>
      </c>
      <c r="B10" s="360"/>
      <c r="C10" s="360"/>
      <c r="D10" s="360"/>
      <c r="E10" s="360"/>
      <c r="F10" s="360"/>
      <c r="G10" s="360"/>
      <c r="H10" s="360"/>
      <c r="I10" s="360"/>
    </row>
    <row r="11" spans="1:9" ht="12.75" customHeight="1">
      <c r="A11" s="361" t="s">
        <v>327</v>
      </c>
      <c r="B11" s="361"/>
      <c r="C11" s="361"/>
      <c r="D11" s="361"/>
      <c r="E11" s="361"/>
      <c r="F11" s="361"/>
      <c r="G11" s="361"/>
      <c r="H11" s="361"/>
      <c r="I11" s="361"/>
    </row>
    <row r="12" spans="1:9" ht="13.5" thickBot="1">
      <c r="A12" s="362" t="s">
        <v>255</v>
      </c>
      <c r="B12" s="362"/>
      <c r="C12" s="362"/>
      <c r="D12" s="362"/>
      <c r="E12" s="362"/>
      <c r="F12" s="362"/>
      <c r="G12" s="362"/>
      <c r="H12" s="362"/>
      <c r="I12" s="362"/>
    </row>
    <row r="13" spans="1:10" ht="90.75">
      <c r="A13" s="239" t="s">
        <v>181</v>
      </c>
      <c r="B13" s="240" t="s">
        <v>182</v>
      </c>
      <c r="C13" s="240" t="s">
        <v>437</v>
      </c>
      <c r="D13" s="240" t="s">
        <v>183</v>
      </c>
      <c r="E13" s="240" t="s">
        <v>434</v>
      </c>
      <c r="F13" s="240" t="s">
        <v>435</v>
      </c>
      <c r="G13" s="240" t="s">
        <v>438</v>
      </c>
      <c r="H13" s="240" t="s">
        <v>184</v>
      </c>
      <c r="I13" s="241" t="s">
        <v>439</v>
      </c>
      <c r="J13" s="30"/>
    </row>
    <row r="14" spans="1:10" ht="12.75">
      <c r="A14" s="187"/>
      <c r="B14" s="363" t="s">
        <v>408</v>
      </c>
      <c r="C14" s="364"/>
      <c r="D14" s="364"/>
      <c r="E14" s="364"/>
      <c r="F14" s="364"/>
      <c r="G14" s="364"/>
      <c r="H14" s="364"/>
      <c r="I14" s="365"/>
      <c r="J14" s="30"/>
    </row>
    <row r="15" spans="1:12" ht="12.75">
      <c r="A15" s="188" t="s">
        <v>186</v>
      </c>
      <c r="B15" s="169">
        <f>SUM(B16:B20)</f>
        <v>46807.07</v>
      </c>
      <c r="C15" s="173">
        <f>D15/B15*1000</f>
        <v>164.3075287558055</v>
      </c>
      <c r="D15" s="171">
        <f>SUM(D16:D20)</f>
        <v>7690.754</v>
      </c>
      <c r="E15" s="173">
        <f>D15*7000/F15</f>
        <v>8378.35611074469</v>
      </c>
      <c r="F15" s="169">
        <v>6425.518</v>
      </c>
      <c r="G15" s="213">
        <f>H15*1000/F15</f>
        <v>9993.222859028641</v>
      </c>
      <c r="H15" s="169">
        <f>SUM(H16,H19,H20)</f>
        <v>64211.6333587</v>
      </c>
      <c r="I15" s="205">
        <f>H15/D15*1000</f>
        <v>8349.198707785998</v>
      </c>
      <c r="J15" s="69"/>
      <c r="L15" s="170"/>
    </row>
    <row r="16" spans="1:9" ht="15">
      <c r="A16" s="188" t="s">
        <v>414</v>
      </c>
      <c r="B16" s="166">
        <v>25934.17</v>
      </c>
      <c r="C16" s="174">
        <f>C15</f>
        <v>164.3075287558055</v>
      </c>
      <c r="D16" s="175">
        <v>4314.916</v>
      </c>
      <c r="E16" s="174">
        <f>E15</f>
        <v>8378.35611074469</v>
      </c>
      <c r="F16" s="175">
        <v>3605.052</v>
      </c>
      <c r="G16" s="204">
        <f>H16/F16*1000</f>
        <v>6183.326569630618</v>
      </c>
      <c r="H16" s="204">
        <f>SUM(H17:H18)</f>
        <v>22291.2138165</v>
      </c>
      <c r="I16" s="206">
        <f>H16/D16*1000</f>
        <v>5166.082912506292</v>
      </c>
    </row>
    <row r="17" spans="1:9" ht="12.75">
      <c r="A17" s="203" t="s">
        <v>413</v>
      </c>
      <c r="B17" s="166"/>
      <c r="C17" s="174"/>
      <c r="D17" s="175"/>
      <c r="E17" s="174"/>
      <c r="F17" s="175">
        <v>3429.48</v>
      </c>
      <c r="G17" s="164">
        <v>6183.33</v>
      </c>
      <c r="H17" s="164">
        <f>F17*G17/1000</f>
        <v>21205.6065684</v>
      </c>
      <c r="I17" s="206"/>
    </row>
    <row r="18" spans="1:9" ht="12.75">
      <c r="A18" s="203" t="s">
        <v>412</v>
      </c>
      <c r="B18" s="166"/>
      <c r="C18" s="174"/>
      <c r="D18" s="175"/>
      <c r="E18" s="174"/>
      <c r="F18" s="175">
        <v>175.57</v>
      </c>
      <c r="G18" s="164">
        <f>G17</f>
        <v>6183.33</v>
      </c>
      <c r="H18" s="164">
        <f>F18*G18/1000</f>
        <v>1085.6072480999999</v>
      </c>
      <c r="I18" s="206"/>
    </row>
    <row r="19" spans="1:9" ht="12.75">
      <c r="A19" s="188" t="s">
        <v>40</v>
      </c>
      <c r="B19" s="166">
        <f>'Паливо заг.'!B19</f>
        <v>17317.47</v>
      </c>
      <c r="C19" s="174">
        <f>C15</f>
        <v>164.3075287558055</v>
      </c>
      <c r="D19" s="166">
        <v>2793.535</v>
      </c>
      <c r="E19" s="174">
        <f>E16</f>
        <v>8378.35611074469</v>
      </c>
      <c r="F19" s="166">
        <v>2333.96</v>
      </c>
      <c r="G19" s="164">
        <f>'Паливо заг.'!G19</f>
        <v>13658.42</v>
      </c>
      <c r="H19" s="164">
        <f>F19*G19/1000</f>
        <v>31878.2059432</v>
      </c>
      <c r="I19" s="206">
        <f>H19/D19*1000</f>
        <v>11411.42170876685</v>
      </c>
    </row>
    <row r="20" spans="1:11" ht="13.5" thickBot="1">
      <c r="A20" s="192" t="s">
        <v>42</v>
      </c>
      <c r="B20" s="182">
        <f>'Паливо заг.'!B20</f>
        <v>3555.43</v>
      </c>
      <c r="C20" s="184">
        <f>C15</f>
        <v>164.3075287558055</v>
      </c>
      <c r="D20" s="182">
        <v>582.303</v>
      </c>
      <c r="E20" s="184">
        <f>E19</f>
        <v>8378.35611074469</v>
      </c>
      <c r="F20" s="182">
        <v>486.506</v>
      </c>
      <c r="G20" s="164">
        <f>'Паливо заг.'!G20</f>
        <v>20641.5</v>
      </c>
      <c r="H20" s="183">
        <f>F20*G20/1000</f>
        <v>10042.213598999999</v>
      </c>
      <c r="I20" s="207">
        <f>H20/D20*1000</f>
        <v>17245.684118062243</v>
      </c>
      <c r="K20" s="109">
        <f>H16+H19+H20</f>
        <v>64211.6333587</v>
      </c>
    </row>
    <row r="21" spans="1:11" ht="12.75">
      <c r="A21" s="194"/>
      <c r="B21" s="353" t="s">
        <v>409</v>
      </c>
      <c r="C21" s="354"/>
      <c r="D21" s="354"/>
      <c r="E21" s="354"/>
      <c r="F21" s="354"/>
      <c r="G21" s="354"/>
      <c r="H21" s="354"/>
      <c r="I21" s="355"/>
      <c r="K21" s="109"/>
    </row>
    <row r="22" spans="1:11" ht="12.75">
      <c r="A22" s="188" t="s">
        <v>186</v>
      </c>
      <c r="B22" s="169">
        <f>SUM(B23:B25)</f>
        <v>46807.07</v>
      </c>
      <c r="C22" s="173">
        <f>D22/B22*1000</f>
        <v>164.3075287558055</v>
      </c>
      <c r="D22" s="171">
        <f>SUM(D23:D25)</f>
        <v>7690.754</v>
      </c>
      <c r="E22" s="173">
        <f>D22*7000/F22</f>
        <v>8378.35611074469</v>
      </c>
      <c r="F22" s="169">
        <v>6425.518</v>
      </c>
      <c r="G22" s="169">
        <v>136.58</v>
      </c>
      <c r="H22" s="169">
        <f>F22*G22/1000</f>
        <v>877.5972484400002</v>
      </c>
      <c r="I22" s="205">
        <f>H22/D22*1000</f>
        <v>114.11069037444186</v>
      </c>
      <c r="K22" s="109"/>
    </row>
    <row r="23" spans="1:11" ht="12.75">
      <c r="A23" s="188" t="s">
        <v>38</v>
      </c>
      <c r="B23" s="166">
        <v>25934.17</v>
      </c>
      <c r="C23" s="174">
        <f>C22</f>
        <v>164.3075287558055</v>
      </c>
      <c r="D23" s="175">
        <v>4314.916</v>
      </c>
      <c r="E23" s="174">
        <f>E22</f>
        <v>8378.35611074469</v>
      </c>
      <c r="F23" s="175">
        <v>3605.052</v>
      </c>
      <c r="G23" s="164">
        <v>136.58</v>
      </c>
      <c r="H23" s="164">
        <f>F23*G23/1000</f>
        <v>492.3780021600001</v>
      </c>
      <c r="I23" s="206">
        <f>H23/D23*1000</f>
        <v>114.11068075485133</v>
      </c>
      <c r="K23" s="109"/>
    </row>
    <row r="24" spans="1:11" ht="12.75">
      <c r="A24" s="188" t="s">
        <v>40</v>
      </c>
      <c r="B24" s="166">
        <f>'Паливо заг.'!B24</f>
        <v>17317.47</v>
      </c>
      <c r="C24" s="174">
        <f>C22</f>
        <v>164.3075287558055</v>
      </c>
      <c r="D24" s="166">
        <v>2793.535</v>
      </c>
      <c r="E24" s="174">
        <f>E23</f>
        <v>8378.35611074469</v>
      </c>
      <c r="F24" s="166">
        <v>2333.96</v>
      </c>
      <c r="G24" s="164">
        <v>136.58</v>
      </c>
      <c r="H24" s="164">
        <f>F24*G24/1000</f>
        <v>318.77225680000004</v>
      </c>
      <c r="I24" s="206">
        <f>H24/D24*1000</f>
        <v>114.11070804554087</v>
      </c>
      <c r="K24" s="109"/>
    </row>
    <row r="25" spans="1:11" ht="13.5" thickBot="1">
      <c r="A25" s="192" t="s">
        <v>42</v>
      </c>
      <c r="B25" s="182">
        <f>'Паливо заг.'!B25</f>
        <v>3555.43</v>
      </c>
      <c r="C25" s="184">
        <f>C22</f>
        <v>164.3075287558055</v>
      </c>
      <c r="D25" s="182">
        <v>582.303</v>
      </c>
      <c r="E25" s="184">
        <f>E24</f>
        <v>8378.35611074469</v>
      </c>
      <c r="F25" s="182">
        <v>486.506</v>
      </c>
      <c r="G25" s="183">
        <v>136.58</v>
      </c>
      <c r="H25" s="183">
        <f>F25*G25/1000</f>
        <v>66.44698948</v>
      </c>
      <c r="I25" s="207">
        <f>H25/D25*1000</f>
        <v>114.11067688128001</v>
      </c>
      <c r="K25" s="109"/>
    </row>
    <row r="26" spans="1:11" ht="27" customHeight="1">
      <c r="A26" s="194"/>
      <c r="B26" s="353" t="s">
        <v>416</v>
      </c>
      <c r="C26" s="354"/>
      <c r="D26" s="354"/>
      <c r="E26" s="354"/>
      <c r="F26" s="354"/>
      <c r="G26" s="354"/>
      <c r="H26" s="354"/>
      <c r="I26" s="355"/>
      <c r="K26" s="109"/>
    </row>
    <row r="27" spans="1:11" ht="12.75">
      <c r="A27" s="188" t="s">
        <v>186</v>
      </c>
      <c r="B27" s="166" t="s">
        <v>372</v>
      </c>
      <c r="C27" s="166" t="s">
        <v>372</v>
      </c>
      <c r="D27" s="166" t="s">
        <v>372</v>
      </c>
      <c r="E27" s="166" t="s">
        <v>372</v>
      </c>
      <c r="F27" s="171">
        <v>6277.96</v>
      </c>
      <c r="G27" s="169">
        <v>11.6</v>
      </c>
      <c r="H27" s="169">
        <f>F27*G27/1000</f>
        <v>72.824336</v>
      </c>
      <c r="I27" s="166" t="s">
        <v>372</v>
      </c>
      <c r="K27" s="109"/>
    </row>
    <row r="28" spans="1:11" ht="12.75">
      <c r="A28" s="188" t="s">
        <v>38</v>
      </c>
      <c r="B28" s="166" t="s">
        <v>372</v>
      </c>
      <c r="C28" s="166" t="s">
        <v>372</v>
      </c>
      <c r="D28" s="166" t="s">
        <v>372</v>
      </c>
      <c r="E28" s="166" t="s">
        <v>372</v>
      </c>
      <c r="F28" s="175">
        <v>3605.05</v>
      </c>
      <c r="G28" s="169">
        <v>11.6</v>
      </c>
      <c r="H28" s="164">
        <f>F28*G28/1000</f>
        <v>41.818580000000004</v>
      </c>
      <c r="I28" s="166" t="s">
        <v>372</v>
      </c>
      <c r="K28" s="109"/>
    </row>
    <row r="29" spans="1:11" ht="12.75">
      <c r="A29" s="188" t="s">
        <v>40</v>
      </c>
      <c r="B29" s="166" t="s">
        <v>372</v>
      </c>
      <c r="C29" s="166" t="s">
        <v>372</v>
      </c>
      <c r="D29" s="166" t="s">
        <v>372</v>
      </c>
      <c r="E29" s="166" t="s">
        <v>372</v>
      </c>
      <c r="F29" s="166">
        <v>2186.909</v>
      </c>
      <c r="G29" s="169">
        <v>11.6</v>
      </c>
      <c r="H29" s="164">
        <f>F29*G29/1000</f>
        <v>25.368144400000002</v>
      </c>
      <c r="I29" s="166" t="s">
        <v>372</v>
      </c>
      <c r="K29" s="109"/>
    </row>
    <row r="30" spans="1:11" ht="13.5" thickBot="1">
      <c r="A30" s="192" t="s">
        <v>42</v>
      </c>
      <c r="B30" s="182" t="s">
        <v>372</v>
      </c>
      <c r="C30" s="182" t="s">
        <v>372</v>
      </c>
      <c r="D30" s="182" t="s">
        <v>372</v>
      </c>
      <c r="E30" s="182" t="s">
        <v>372</v>
      </c>
      <c r="F30" s="182">
        <v>485.999</v>
      </c>
      <c r="G30" s="169">
        <v>11.6</v>
      </c>
      <c r="H30" s="183">
        <f>F30*G30/1000</f>
        <v>5.6375884</v>
      </c>
      <c r="I30" s="182" t="s">
        <v>372</v>
      </c>
      <c r="K30" s="109"/>
    </row>
    <row r="31" spans="1:11" ht="12.75">
      <c r="A31" s="194"/>
      <c r="B31" s="353" t="s">
        <v>410</v>
      </c>
      <c r="C31" s="354"/>
      <c r="D31" s="354"/>
      <c r="E31" s="354"/>
      <c r="F31" s="354"/>
      <c r="G31" s="354"/>
      <c r="H31" s="354"/>
      <c r="I31" s="355"/>
      <c r="K31" s="109"/>
    </row>
    <row r="32" spans="1:11" ht="12.75">
      <c r="A32" s="188" t="s">
        <v>186</v>
      </c>
      <c r="B32" s="166" t="s">
        <v>372</v>
      </c>
      <c r="C32" s="166" t="s">
        <v>372</v>
      </c>
      <c r="D32" s="166" t="s">
        <v>372</v>
      </c>
      <c r="E32" s="166" t="s">
        <v>372</v>
      </c>
      <c r="F32" s="172">
        <v>5514.976</v>
      </c>
      <c r="G32" s="169">
        <v>1.79</v>
      </c>
      <c r="H32" s="169">
        <f>F32*G32</f>
        <v>9871.80704</v>
      </c>
      <c r="I32" s="195" t="s">
        <v>372</v>
      </c>
      <c r="K32" s="109"/>
    </row>
    <row r="33" spans="1:11" ht="12.75">
      <c r="A33" s="188" t="s">
        <v>38</v>
      </c>
      <c r="B33" s="166" t="s">
        <v>372</v>
      </c>
      <c r="C33" s="166" t="s">
        <v>372</v>
      </c>
      <c r="D33" s="166" t="s">
        <v>372</v>
      </c>
      <c r="E33" s="166" t="s">
        <v>372</v>
      </c>
      <c r="F33" s="166">
        <v>3057.7</v>
      </c>
      <c r="G33" s="164">
        <v>1.79</v>
      </c>
      <c r="H33" s="164">
        <f>F33*G33</f>
        <v>5473.282999999999</v>
      </c>
      <c r="I33" s="195" t="s">
        <v>372</v>
      </c>
      <c r="K33" s="109"/>
    </row>
    <row r="34" spans="1:11" ht="12.75">
      <c r="A34" s="188" t="s">
        <v>40</v>
      </c>
      <c r="B34" s="166" t="s">
        <v>372</v>
      </c>
      <c r="C34" s="166" t="s">
        <v>372</v>
      </c>
      <c r="D34" s="166" t="s">
        <v>372</v>
      </c>
      <c r="E34" s="166" t="s">
        <v>372</v>
      </c>
      <c r="F34" s="166">
        <v>2038.49</v>
      </c>
      <c r="G34" s="164">
        <v>1.79</v>
      </c>
      <c r="H34" s="164">
        <f>F34*G34</f>
        <v>3648.8971</v>
      </c>
      <c r="I34" s="195" t="s">
        <v>372</v>
      </c>
      <c r="K34" s="109"/>
    </row>
    <row r="35" spans="1:11" ht="13.5" thickBot="1">
      <c r="A35" s="192" t="s">
        <v>42</v>
      </c>
      <c r="B35" s="182" t="s">
        <v>372</v>
      </c>
      <c r="C35" s="182" t="s">
        <v>372</v>
      </c>
      <c r="D35" s="182" t="s">
        <v>372</v>
      </c>
      <c r="E35" s="182" t="s">
        <v>372</v>
      </c>
      <c r="F35" s="182">
        <v>418.79</v>
      </c>
      <c r="G35" s="183">
        <v>1.79</v>
      </c>
      <c r="H35" s="183">
        <f>F35*G35</f>
        <v>749.6341000000001</v>
      </c>
      <c r="I35" s="196" t="s">
        <v>372</v>
      </c>
      <c r="K35" s="109"/>
    </row>
    <row r="36" spans="1:11" ht="12.75">
      <c r="A36" s="197" t="s">
        <v>411</v>
      </c>
      <c r="B36" s="179">
        <f>SUM(B37:B39)</f>
        <v>46807.07</v>
      </c>
      <c r="C36" s="180">
        <f>D36/B36*1000</f>
        <v>164.3075287558055</v>
      </c>
      <c r="D36" s="179">
        <f>SUM(D37:D39)</f>
        <v>7690.754</v>
      </c>
      <c r="E36" s="180">
        <f>E15</f>
        <v>8378.35611074469</v>
      </c>
      <c r="F36" s="229">
        <v>6425.518</v>
      </c>
      <c r="G36" s="181" t="s">
        <v>372</v>
      </c>
      <c r="H36" s="209">
        <f>SUM(H15,H22,H27,H32)</f>
        <v>75033.86198314</v>
      </c>
      <c r="I36" s="232">
        <f>H36/D36*1000</f>
        <v>9756.372649956038</v>
      </c>
      <c r="K36" s="109"/>
    </row>
    <row r="37" spans="1:11" ht="12.75">
      <c r="A37" s="188" t="s">
        <v>38</v>
      </c>
      <c r="B37" s="166">
        <v>25934.17</v>
      </c>
      <c r="C37" s="174">
        <f>C36</f>
        <v>164.3075287558055</v>
      </c>
      <c r="D37" s="175">
        <v>4314.916</v>
      </c>
      <c r="E37" s="174">
        <f>E36</f>
        <v>8378.35611074469</v>
      </c>
      <c r="F37" s="175">
        <v>3605.052</v>
      </c>
      <c r="G37" s="166" t="s">
        <v>372</v>
      </c>
      <c r="H37" s="176">
        <f>SUM(H16,H23,H28,H33)</f>
        <v>28298.693398659998</v>
      </c>
      <c r="I37" s="206">
        <f>H37/D37*1000</f>
        <v>6558.341668449629</v>
      </c>
      <c r="K37" s="109"/>
    </row>
    <row r="38" spans="1:11" ht="12.75">
      <c r="A38" s="188" t="s">
        <v>40</v>
      </c>
      <c r="B38" s="166">
        <f>'Паливо заг.'!B38</f>
        <v>17317.47</v>
      </c>
      <c r="C38" s="174">
        <f>C36</f>
        <v>164.3075287558055</v>
      </c>
      <c r="D38" s="166">
        <v>2793.535</v>
      </c>
      <c r="E38" s="174">
        <f>E37</f>
        <v>8378.35611074469</v>
      </c>
      <c r="F38" s="166">
        <v>2333.96</v>
      </c>
      <c r="G38" s="166" t="s">
        <v>372</v>
      </c>
      <c r="H38" s="176">
        <f>SUM(H19,H24,H29,H34)</f>
        <v>35871.243444399995</v>
      </c>
      <c r="I38" s="206">
        <f>H38/D38*1000</f>
        <v>12840.806878882848</v>
      </c>
      <c r="K38" s="109"/>
    </row>
    <row r="39" spans="1:11" ht="13.5" thickBot="1">
      <c r="A39" s="192" t="s">
        <v>42</v>
      </c>
      <c r="B39" s="182">
        <f>'Паливо заг.'!B39</f>
        <v>3555.43</v>
      </c>
      <c r="C39" s="184">
        <f>C36</f>
        <v>164.3075287558055</v>
      </c>
      <c r="D39" s="182">
        <v>582.303</v>
      </c>
      <c r="E39" s="184">
        <f>E38</f>
        <v>8378.35611074469</v>
      </c>
      <c r="F39" s="182">
        <v>486.506</v>
      </c>
      <c r="G39" s="182" t="s">
        <v>372</v>
      </c>
      <c r="H39" s="182">
        <f>SUM(H20,H25,H30,H35)</f>
        <v>10863.93227688</v>
      </c>
      <c r="I39" s="207">
        <f>H39/D39*1000</f>
        <v>18656.837208257555</v>
      </c>
      <c r="K39" s="109"/>
    </row>
    <row r="40" spans="1:9" ht="12.75">
      <c r="A40" s="198" t="s">
        <v>187</v>
      </c>
      <c r="B40" s="176" t="s">
        <v>372</v>
      </c>
      <c r="C40" s="176" t="s">
        <v>372</v>
      </c>
      <c r="D40" s="177" t="s">
        <v>372</v>
      </c>
      <c r="E40" s="177" t="s">
        <v>372</v>
      </c>
      <c r="F40" s="178" t="s">
        <v>372</v>
      </c>
      <c r="G40" s="178" t="s">
        <v>372</v>
      </c>
      <c r="H40" s="178" t="s">
        <v>372</v>
      </c>
      <c r="I40" s="199" t="s">
        <v>372</v>
      </c>
    </row>
    <row r="41" spans="1:9" ht="12.75">
      <c r="A41" s="188" t="s">
        <v>38</v>
      </c>
      <c r="B41" s="166" t="s">
        <v>372</v>
      </c>
      <c r="C41" s="166" t="s">
        <v>372</v>
      </c>
      <c r="D41" s="165" t="s">
        <v>372</v>
      </c>
      <c r="E41" s="165" t="s">
        <v>372</v>
      </c>
      <c r="F41" s="167" t="s">
        <v>372</v>
      </c>
      <c r="G41" s="167" t="s">
        <v>372</v>
      </c>
      <c r="H41" s="167" t="s">
        <v>372</v>
      </c>
      <c r="I41" s="200" t="s">
        <v>372</v>
      </c>
    </row>
    <row r="42" spans="1:9" ht="12.75">
      <c r="A42" s="188" t="s">
        <v>40</v>
      </c>
      <c r="B42" s="166" t="s">
        <v>372</v>
      </c>
      <c r="C42" s="166" t="s">
        <v>372</v>
      </c>
      <c r="D42" s="165" t="s">
        <v>372</v>
      </c>
      <c r="E42" s="165" t="s">
        <v>372</v>
      </c>
      <c r="F42" s="167" t="s">
        <v>372</v>
      </c>
      <c r="G42" s="167" t="s">
        <v>372</v>
      </c>
      <c r="H42" s="167" t="s">
        <v>372</v>
      </c>
      <c r="I42" s="200" t="s">
        <v>372</v>
      </c>
    </row>
    <row r="43" spans="1:9" ht="13.5" thickBot="1">
      <c r="A43" s="192" t="s">
        <v>42</v>
      </c>
      <c r="B43" s="182" t="s">
        <v>372</v>
      </c>
      <c r="C43" s="182" t="s">
        <v>372</v>
      </c>
      <c r="D43" s="185" t="s">
        <v>372</v>
      </c>
      <c r="E43" s="185" t="s">
        <v>372</v>
      </c>
      <c r="F43" s="186" t="s">
        <v>372</v>
      </c>
      <c r="G43" s="186" t="s">
        <v>372</v>
      </c>
      <c r="H43" s="186" t="s">
        <v>372</v>
      </c>
      <c r="I43" s="201" t="s">
        <v>372</v>
      </c>
    </row>
    <row r="44" spans="1:9" ht="12.75">
      <c r="A44" s="198" t="s">
        <v>188</v>
      </c>
      <c r="B44" s="176" t="s">
        <v>372</v>
      </c>
      <c r="C44" s="176" t="s">
        <v>372</v>
      </c>
      <c r="D44" s="177" t="s">
        <v>372</v>
      </c>
      <c r="E44" s="177" t="s">
        <v>372</v>
      </c>
      <c r="F44" s="178" t="s">
        <v>372</v>
      </c>
      <c r="G44" s="178" t="s">
        <v>372</v>
      </c>
      <c r="H44" s="178" t="s">
        <v>372</v>
      </c>
      <c r="I44" s="199" t="s">
        <v>372</v>
      </c>
    </row>
    <row r="45" spans="1:9" ht="12.75">
      <c r="A45" s="188" t="s">
        <v>38</v>
      </c>
      <c r="B45" s="166" t="s">
        <v>372</v>
      </c>
      <c r="C45" s="166" t="s">
        <v>372</v>
      </c>
      <c r="D45" s="165" t="s">
        <v>372</v>
      </c>
      <c r="E45" s="165" t="s">
        <v>372</v>
      </c>
      <c r="F45" s="167" t="s">
        <v>372</v>
      </c>
      <c r="G45" s="167" t="s">
        <v>372</v>
      </c>
      <c r="H45" s="167" t="s">
        <v>372</v>
      </c>
      <c r="I45" s="200" t="s">
        <v>372</v>
      </c>
    </row>
    <row r="46" spans="1:9" ht="12.75">
      <c r="A46" s="188" t="s">
        <v>40</v>
      </c>
      <c r="B46" s="166" t="s">
        <v>372</v>
      </c>
      <c r="C46" s="166" t="s">
        <v>372</v>
      </c>
      <c r="D46" s="165" t="s">
        <v>372</v>
      </c>
      <c r="E46" s="165" t="s">
        <v>372</v>
      </c>
      <c r="F46" s="167" t="s">
        <v>372</v>
      </c>
      <c r="G46" s="167" t="s">
        <v>372</v>
      </c>
      <c r="H46" s="167" t="s">
        <v>372</v>
      </c>
      <c r="I46" s="200" t="s">
        <v>372</v>
      </c>
    </row>
    <row r="47" spans="1:9" ht="13.5" thickBot="1">
      <c r="A47" s="192" t="s">
        <v>42</v>
      </c>
      <c r="B47" s="182" t="s">
        <v>372</v>
      </c>
      <c r="C47" s="182" t="s">
        <v>372</v>
      </c>
      <c r="D47" s="185" t="s">
        <v>372</v>
      </c>
      <c r="E47" s="185" t="s">
        <v>372</v>
      </c>
      <c r="F47" s="186" t="s">
        <v>372</v>
      </c>
      <c r="G47" s="186" t="s">
        <v>372</v>
      </c>
      <c r="H47" s="186" t="s">
        <v>372</v>
      </c>
      <c r="I47" s="201" t="s">
        <v>372</v>
      </c>
    </row>
    <row r="48" spans="1:9" ht="12.75">
      <c r="A48" s="194" t="s">
        <v>189</v>
      </c>
      <c r="B48" s="209">
        <f>SUM(B49:B53)</f>
        <v>2235.4880000000003</v>
      </c>
      <c r="C48" s="180">
        <f>D48/B48*1000</f>
        <v>179.45209278689933</v>
      </c>
      <c r="D48" s="209">
        <f>SUM(D49:D53)</f>
        <v>401.16300000000007</v>
      </c>
      <c r="E48" s="211">
        <f>D48*7000/F48</f>
        <v>3943.420099198437</v>
      </c>
      <c r="F48" s="209">
        <f>F49+F50+F53</f>
        <v>712.108</v>
      </c>
      <c r="G48" s="209">
        <v>0</v>
      </c>
      <c r="H48" s="209">
        <f>H49+H51+H52+H53</f>
        <v>1540.1854113400002</v>
      </c>
      <c r="I48" s="212">
        <f>H48/D48*1000</f>
        <v>3839.300761386269</v>
      </c>
    </row>
    <row r="49" spans="1:9" ht="12.75">
      <c r="A49" s="188" t="s">
        <v>38</v>
      </c>
      <c r="B49" s="167">
        <v>1391.41</v>
      </c>
      <c r="C49" s="174">
        <f>C48</f>
        <v>179.45209278689933</v>
      </c>
      <c r="D49" s="166">
        <v>251.418</v>
      </c>
      <c r="E49" s="166">
        <f>E48</f>
        <v>3943.420099198437</v>
      </c>
      <c r="F49" s="167">
        <v>466.453</v>
      </c>
      <c r="G49" s="167">
        <f>'Паливо заг.'!G49</f>
        <v>1750</v>
      </c>
      <c r="H49" s="167">
        <f>F49*G49/1000</f>
        <v>816.29275</v>
      </c>
      <c r="I49" s="189">
        <f>H49/D49*1000</f>
        <v>3246.755403352186</v>
      </c>
    </row>
    <row r="50" spans="1:9" ht="12.75">
      <c r="A50" s="188" t="s">
        <v>40</v>
      </c>
      <c r="B50" s="167">
        <v>816.211</v>
      </c>
      <c r="C50" s="174">
        <f>C49</f>
        <v>179.45209278689933</v>
      </c>
      <c r="D50" s="166">
        <v>144.71</v>
      </c>
      <c r="E50" s="166">
        <f>E49</f>
        <v>3943.420099198437</v>
      </c>
      <c r="F50" s="167">
        <v>236.313</v>
      </c>
      <c r="G50" s="167">
        <f>'Паливо заг.'!G50</f>
        <v>0</v>
      </c>
      <c r="H50" s="167">
        <f>F50*G50/1000</f>
        <v>0</v>
      </c>
      <c r="I50" s="189">
        <f>H50/D50*1000</f>
        <v>0</v>
      </c>
    </row>
    <row r="51" spans="1:9" ht="25.5">
      <c r="A51" s="250" t="s">
        <v>441</v>
      </c>
      <c r="B51" s="246"/>
      <c r="C51" s="247"/>
      <c r="D51" s="248"/>
      <c r="E51" s="248"/>
      <c r="F51" s="246">
        <v>201.598</v>
      </c>
      <c r="G51" s="246">
        <f>'Паливо заг.'!G51</f>
        <v>3208.33</v>
      </c>
      <c r="H51" s="246">
        <f>F51*G51/1000</f>
        <v>646.79291134</v>
      </c>
      <c r="I51" s="249"/>
    </row>
    <row r="52" spans="1:9" ht="25.5">
      <c r="A52" s="250" t="s">
        <v>442</v>
      </c>
      <c r="B52" s="246"/>
      <c r="C52" s="247"/>
      <c r="D52" s="248"/>
      <c r="E52" s="248"/>
      <c r="F52" s="246">
        <f>F50-F51</f>
        <v>34.714999999999975</v>
      </c>
      <c r="G52" s="246">
        <f>'Паливо заг.'!G52</f>
        <v>1750</v>
      </c>
      <c r="H52" s="246">
        <f>F52*G52/1000</f>
        <v>60.751249999999956</v>
      </c>
      <c r="I52" s="249"/>
    </row>
    <row r="53" spans="1:9" ht="13.5" thickBot="1">
      <c r="A53" s="192" t="s">
        <v>42</v>
      </c>
      <c r="B53" s="186">
        <v>27.867</v>
      </c>
      <c r="C53" s="184">
        <f>C50</f>
        <v>179.45209278689933</v>
      </c>
      <c r="D53" s="182">
        <v>5.035</v>
      </c>
      <c r="E53" s="182">
        <f>E50</f>
        <v>3943.420099198437</v>
      </c>
      <c r="F53" s="186">
        <v>9.342</v>
      </c>
      <c r="G53" s="186">
        <v>1750</v>
      </c>
      <c r="H53" s="186">
        <f>F53*G53/1000</f>
        <v>16.3485</v>
      </c>
      <c r="I53" s="193">
        <f>H53/D53*1000</f>
        <v>3246.9712015888776</v>
      </c>
    </row>
    <row r="54" spans="1:9" ht="25.5">
      <c r="A54" s="208" t="s">
        <v>190</v>
      </c>
      <c r="B54" s="209">
        <f>SUM(B55:B57)</f>
        <v>49042.560000000005</v>
      </c>
      <c r="C54" s="180">
        <f>D54/B54*1000</f>
        <v>164.99785084628536</v>
      </c>
      <c r="D54" s="209">
        <f>SUM(D15,D48)</f>
        <v>8091.917</v>
      </c>
      <c r="E54" s="181" t="s">
        <v>372</v>
      </c>
      <c r="F54" s="181" t="s">
        <v>372</v>
      </c>
      <c r="G54" s="181"/>
      <c r="H54" s="181">
        <f>H55+H56+H57</f>
        <v>76574.05453128</v>
      </c>
      <c r="I54" s="210">
        <f>H54/D54*1000</f>
        <v>9463.030148638449</v>
      </c>
    </row>
    <row r="55" spans="1:9" ht="12.75">
      <c r="A55" s="188" t="s">
        <v>38</v>
      </c>
      <c r="B55" s="166">
        <v>27325.58</v>
      </c>
      <c r="C55" s="174">
        <f>D55/B55*1000</f>
        <v>167.10840172468434</v>
      </c>
      <c r="D55" s="166">
        <f>SUM(D16,D49)</f>
        <v>4566.334</v>
      </c>
      <c r="E55" s="166" t="s">
        <v>372</v>
      </c>
      <c r="F55" s="167" t="s">
        <v>372</v>
      </c>
      <c r="G55" s="167"/>
      <c r="H55" s="167">
        <f>H37+H49</f>
        <v>29114.98614866</v>
      </c>
      <c r="I55" s="202">
        <f>H55/D55*1000</f>
        <v>6376.00888341939</v>
      </c>
    </row>
    <row r="56" spans="1:11" ht="12.75">
      <c r="A56" s="188" t="s">
        <v>40</v>
      </c>
      <c r="B56" s="166">
        <v>18133.68</v>
      </c>
      <c r="C56" s="174">
        <f>D56/B56*1000</f>
        <v>162.03247217332608</v>
      </c>
      <c r="D56" s="166">
        <f>SUM(D50,D19)</f>
        <v>2938.245</v>
      </c>
      <c r="E56" s="166" t="s">
        <v>372</v>
      </c>
      <c r="F56" s="167" t="s">
        <v>372</v>
      </c>
      <c r="G56" s="167"/>
      <c r="H56" s="167">
        <f>H38+H51+H52</f>
        <v>36578.78760574</v>
      </c>
      <c r="I56" s="202">
        <f>H56/D56*1000</f>
        <v>12449.195899504635</v>
      </c>
      <c r="K56" s="251">
        <f>H36+H48</f>
        <v>76574.04739448</v>
      </c>
    </row>
    <row r="57" spans="1:9" ht="12.75">
      <c r="A57" s="188" t="s">
        <v>42</v>
      </c>
      <c r="B57" s="166">
        <v>3583.3</v>
      </c>
      <c r="C57" s="174">
        <f>D57/B57*1000</f>
        <v>163.9103619568554</v>
      </c>
      <c r="D57" s="166">
        <v>587.34</v>
      </c>
      <c r="E57" s="166" t="s">
        <v>372</v>
      </c>
      <c r="F57" s="167" t="s">
        <v>372</v>
      </c>
      <c r="G57" s="167"/>
      <c r="H57" s="167">
        <f>H39+H53</f>
        <v>10880.28077688</v>
      </c>
      <c r="I57" s="202">
        <f>H57/D57*1000</f>
        <v>18524.671871284092</v>
      </c>
    </row>
  </sheetData>
  <sheetProtection/>
  <mergeCells count="10">
    <mergeCell ref="A12:I12"/>
    <mergeCell ref="A11:I11"/>
    <mergeCell ref="B26:I26"/>
    <mergeCell ref="B14:I14"/>
    <mergeCell ref="B21:I21"/>
    <mergeCell ref="B31:I31"/>
    <mergeCell ref="F2:I6"/>
    <mergeCell ref="A8:I8"/>
    <mergeCell ref="A9:I9"/>
    <mergeCell ref="A10:I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6"/>
  <sheetViews>
    <sheetView zoomScalePageLayoutView="0" workbookViewId="0" topLeftCell="A31">
      <selection activeCell="H49" sqref="H49:I49"/>
    </sheetView>
  </sheetViews>
  <sheetFormatPr defaultColWidth="9.140625" defaultRowHeight="12.75"/>
  <cols>
    <col min="1" max="1" width="38.57421875" style="0" customWidth="1"/>
    <col min="2" max="2" width="12.7109375" style="0" customWidth="1"/>
    <col min="3" max="3" width="10.28125" style="0" customWidth="1"/>
    <col min="4" max="4" width="11.00390625" style="0" customWidth="1"/>
    <col min="5" max="5" width="14.421875" style="0" customWidth="1"/>
    <col min="6" max="6" width="10.421875" style="0" customWidth="1"/>
    <col min="7" max="7" width="12.140625" style="0" customWidth="1"/>
    <col min="8" max="8" width="10.7109375" style="0" customWidth="1"/>
    <col min="9" max="9" width="11.00390625" style="0" customWidth="1"/>
  </cols>
  <sheetData>
    <row r="1" spans="1:9" ht="4.5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12.75" customHeight="1">
      <c r="A2" s="26"/>
      <c r="B2" s="26"/>
      <c r="C2" s="26"/>
      <c r="D2" s="26"/>
      <c r="E2" s="26"/>
      <c r="F2" s="359" t="s">
        <v>402</v>
      </c>
      <c r="G2" s="359"/>
      <c r="H2" s="359"/>
      <c r="I2" s="359"/>
    </row>
    <row r="3" spans="1:9" ht="12.75">
      <c r="A3" s="26"/>
      <c r="B3" s="26"/>
      <c r="C3" s="26"/>
      <c r="D3" s="26"/>
      <c r="E3" s="26"/>
      <c r="F3" s="359"/>
      <c r="G3" s="359"/>
      <c r="H3" s="359"/>
      <c r="I3" s="359"/>
    </row>
    <row r="4" spans="1:9" ht="12.75">
      <c r="A4" s="30"/>
      <c r="B4" s="30"/>
      <c r="C4" s="30"/>
      <c r="D4" s="30"/>
      <c r="E4" s="30"/>
      <c r="F4" s="359"/>
      <c r="G4" s="359"/>
      <c r="H4" s="359"/>
      <c r="I4" s="359"/>
    </row>
    <row r="5" spans="1:9" ht="12.75">
      <c r="A5" s="26"/>
      <c r="B5" s="26"/>
      <c r="C5" s="26"/>
      <c r="D5" s="26"/>
      <c r="E5" s="26"/>
      <c r="F5" s="359"/>
      <c r="G5" s="359"/>
      <c r="H5" s="359"/>
      <c r="I5" s="359"/>
    </row>
    <row r="6" spans="1:9" ht="19.5" customHeight="1">
      <c r="A6" s="30"/>
      <c r="B6" s="30"/>
      <c r="C6" s="30"/>
      <c r="D6" s="30"/>
      <c r="E6" s="30"/>
      <c r="F6" s="359"/>
      <c r="G6" s="359"/>
      <c r="H6" s="359"/>
      <c r="I6" s="359"/>
    </row>
    <row r="7" spans="1:9" ht="9" customHeight="1">
      <c r="A7" s="351"/>
      <c r="B7" s="351"/>
      <c r="C7" s="351"/>
      <c r="D7" s="351"/>
      <c r="E7" s="351"/>
      <c r="F7" s="351"/>
      <c r="G7" s="351"/>
      <c r="H7" s="351"/>
      <c r="I7" s="351"/>
    </row>
    <row r="8" spans="1:9" ht="15.75">
      <c r="A8" s="360" t="s">
        <v>44</v>
      </c>
      <c r="B8" s="360"/>
      <c r="C8" s="360"/>
      <c r="D8" s="360"/>
      <c r="E8" s="360"/>
      <c r="F8" s="360"/>
      <c r="G8" s="360"/>
      <c r="H8" s="360"/>
      <c r="I8" s="360"/>
    </row>
    <row r="9" spans="1:9" ht="32.25" customHeight="1">
      <c r="A9" s="369" t="s">
        <v>432</v>
      </c>
      <c r="B9" s="369"/>
      <c r="C9" s="369"/>
      <c r="D9" s="369"/>
      <c r="E9" s="369"/>
      <c r="F9" s="369"/>
      <c r="G9" s="369"/>
      <c r="H9" s="369"/>
      <c r="I9" s="369"/>
    </row>
    <row r="10" spans="1:9" ht="12.75">
      <c r="A10" s="361" t="s">
        <v>327</v>
      </c>
      <c r="B10" s="361"/>
      <c r="C10" s="361"/>
      <c r="D10" s="361"/>
      <c r="E10" s="361"/>
      <c r="F10" s="361"/>
      <c r="G10" s="361"/>
      <c r="H10" s="361"/>
      <c r="I10" s="361"/>
    </row>
    <row r="11" spans="1:9" ht="13.5" thickBot="1">
      <c r="A11" s="362" t="s">
        <v>255</v>
      </c>
      <c r="B11" s="362"/>
      <c r="C11" s="362"/>
      <c r="D11" s="362"/>
      <c r="E11" s="362"/>
      <c r="F11" s="362"/>
      <c r="G11" s="362"/>
      <c r="H11" s="362"/>
      <c r="I11" s="362"/>
    </row>
    <row r="12" spans="1:9" ht="92.25" customHeight="1" thickBot="1">
      <c r="A12" s="236" t="s">
        <v>181</v>
      </c>
      <c r="B12" s="237" t="s">
        <v>182</v>
      </c>
      <c r="C12" s="237" t="s">
        <v>437</v>
      </c>
      <c r="D12" s="237" t="s">
        <v>183</v>
      </c>
      <c r="E12" s="237" t="s">
        <v>434</v>
      </c>
      <c r="F12" s="237" t="s">
        <v>435</v>
      </c>
      <c r="G12" s="237" t="s">
        <v>438</v>
      </c>
      <c r="H12" s="237" t="s">
        <v>184</v>
      </c>
      <c r="I12" s="238" t="s">
        <v>185</v>
      </c>
    </row>
    <row r="13" spans="1:9" ht="15" customHeight="1">
      <c r="A13" s="234"/>
      <c r="B13" s="366" t="s">
        <v>408</v>
      </c>
      <c r="C13" s="367"/>
      <c r="D13" s="367"/>
      <c r="E13" s="367"/>
      <c r="F13" s="367"/>
      <c r="G13" s="367"/>
      <c r="H13" s="367"/>
      <c r="I13" s="368"/>
    </row>
    <row r="14" spans="1:9" ht="12.75">
      <c r="A14" s="188" t="s">
        <v>186</v>
      </c>
      <c r="B14" s="169">
        <f>SUM(B15:B17)</f>
        <v>314.216</v>
      </c>
      <c r="C14" s="173">
        <v>165.792</v>
      </c>
      <c r="D14" s="171">
        <f>SUM(D15:D17)</f>
        <v>52.09121749285715</v>
      </c>
      <c r="E14" s="173">
        <f>D14*7000/F14</f>
        <v>8378.45</v>
      </c>
      <c r="F14" s="169">
        <v>43.521</v>
      </c>
      <c r="G14" s="213">
        <f>H14*1000/F14</f>
        <v>6183.33</v>
      </c>
      <c r="H14" s="169">
        <f>SUM(H15,H16,H17)</f>
        <v>269.10470493</v>
      </c>
      <c r="I14" s="205">
        <f>H14/D14*1000</f>
        <v>5166.028322661113</v>
      </c>
    </row>
    <row r="15" spans="1:9" ht="12.75" customHeight="1">
      <c r="A15" s="188" t="s">
        <v>414</v>
      </c>
      <c r="B15" s="166">
        <v>314.216</v>
      </c>
      <c r="C15" s="174">
        <f>C14</f>
        <v>165.792</v>
      </c>
      <c r="D15" s="175">
        <f>PRODUCT(F15,E15/7000)</f>
        <v>52.09121749285715</v>
      </c>
      <c r="E15" s="174">
        <v>8378.45</v>
      </c>
      <c r="F15" s="168">
        <v>43.521</v>
      </c>
      <c r="G15" s="204">
        <v>6183.33</v>
      </c>
      <c r="H15" s="164">
        <f>F15*G15/1000</f>
        <v>269.10470493</v>
      </c>
      <c r="I15" s="206">
        <f>H15/D15*1000</f>
        <v>5166.028322661113</v>
      </c>
    </row>
    <row r="16" spans="1:9" ht="12.75">
      <c r="A16" s="188" t="s">
        <v>40</v>
      </c>
      <c r="B16" s="166">
        <v>0</v>
      </c>
      <c r="C16" s="174">
        <v>0</v>
      </c>
      <c r="D16" s="166">
        <v>0</v>
      </c>
      <c r="E16" s="174">
        <v>0</v>
      </c>
      <c r="F16" s="166">
        <v>0</v>
      </c>
      <c r="G16" s="164">
        <v>0</v>
      </c>
      <c r="H16" s="164">
        <f>F16*G16/1000</f>
        <v>0</v>
      </c>
      <c r="I16" s="206">
        <v>0</v>
      </c>
    </row>
    <row r="17" spans="1:9" ht="13.5" thickBot="1">
      <c r="A17" s="192" t="s">
        <v>42</v>
      </c>
      <c r="B17" s="182">
        <v>0</v>
      </c>
      <c r="C17" s="184">
        <v>0</v>
      </c>
      <c r="D17" s="182">
        <v>0</v>
      </c>
      <c r="E17" s="184">
        <v>0</v>
      </c>
      <c r="F17" s="182">
        <v>0</v>
      </c>
      <c r="G17" s="183">
        <v>0</v>
      </c>
      <c r="H17" s="183">
        <f>F17*G17/1000</f>
        <v>0</v>
      </c>
      <c r="I17" s="207">
        <v>0</v>
      </c>
    </row>
    <row r="18" spans="1:9" ht="12.75">
      <c r="A18" s="194"/>
      <c r="B18" s="353" t="s">
        <v>409</v>
      </c>
      <c r="C18" s="354"/>
      <c r="D18" s="354"/>
      <c r="E18" s="354"/>
      <c r="F18" s="354"/>
      <c r="G18" s="354"/>
      <c r="H18" s="354"/>
      <c r="I18" s="355"/>
    </row>
    <row r="19" spans="1:9" ht="12.75">
      <c r="A19" s="188" t="s">
        <v>186</v>
      </c>
      <c r="B19" s="169">
        <f>SUM(B20:B22)</f>
        <v>314.216</v>
      </c>
      <c r="C19" s="173">
        <v>165.792</v>
      </c>
      <c r="D19" s="171">
        <f>SUM(D20:D22)</f>
        <v>52.09121749285715</v>
      </c>
      <c r="E19" s="173">
        <f>D19*7000/F19</f>
        <v>8378.45</v>
      </c>
      <c r="F19" s="169">
        <v>43.521</v>
      </c>
      <c r="G19" s="169">
        <v>136.58</v>
      </c>
      <c r="H19" s="169">
        <f>F19*G19/1000</f>
        <v>5.944098180000001</v>
      </c>
      <c r="I19" s="205">
        <f>H19/D19*1000</f>
        <v>114.10941164535207</v>
      </c>
    </row>
    <row r="20" spans="1:9" ht="15">
      <c r="A20" s="188" t="s">
        <v>38</v>
      </c>
      <c r="B20" s="166">
        <v>314.216</v>
      </c>
      <c r="C20" s="174">
        <f>C19</f>
        <v>165.792</v>
      </c>
      <c r="D20" s="175">
        <f>PRODUCT(F20,E20/7000)</f>
        <v>52.09121749285715</v>
      </c>
      <c r="E20" s="174">
        <v>8378.45</v>
      </c>
      <c r="F20" s="168">
        <v>43.521</v>
      </c>
      <c r="G20" s="164">
        <v>136.58</v>
      </c>
      <c r="H20" s="164">
        <f>F20*G20/1000</f>
        <v>5.944098180000001</v>
      </c>
      <c r="I20" s="206">
        <f>H20/D20*1000</f>
        <v>114.10941164535207</v>
      </c>
    </row>
    <row r="21" spans="1:9" ht="12.75">
      <c r="A21" s="188" t="s">
        <v>40</v>
      </c>
      <c r="B21" s="166">
        <v>0</v>
      </c>
      <c r="C21" s="174">
        <v>0</v>
      </c>
      <c r="D21" s="166">
        <v>0</v>
      </c>
      <c r="E21" s="174">
        <v>0</v>
      </c>
      <c r="F21" s="166">
        <v>0</v>
      </c>
      <c r="G21" s="164">
        <v>0</v>
      </c>
      <c r="H21" s="164">
        <f>F21*G21/1000</f>
        <v>0</v>
      </c>
      <c r="I21" s="206">
        <v>0</v>
      </c>
    </row>
    <row r="22" spans="1:9" ht="13.5" thickBot="1">
      <c r="A22" s="192" t="s">
        <v>42</v>
      </c>
      <c r="B22" s="182">
        <v>0</v>
      </c>
      <c r="C22" s="184">
        <v>0</v>
      </c>
      <c r="D22" s="182">
        <v>0</v>
      </c>
      <c r="E22" s="184">
        <v>0</v>
      </c>
      <c r="F22" s="182">
        <v>0</v>
      </c>
      <c r="G22" s="183">
        <v>0</v>
      </c>
      <c r="H22" s="183">
        <f>F22*G22/1000</f>
        <v>0</v>
      </c>
      <c r="I22" s="207">
        <v>0</v>
      </c>
    </row>
    <row r="23" spans="1:9" ht="27.75" customHeight="1">
      <c r="A23" s="194"/>
      <c r="B23" s="353" t="s">
        <v>416</v>
      </c>
      <c r="C23" s="354"/>
      <c r="D23" s="354"/>
      <c r="E23" s="354"/>
      <c r="F23" s="354"/>
      <c r="G23" s="354"/>
      <c r="H23" s="354"/>
      <c r="I23" s="355"/>
    </row>
    <row r="24" spans="1:9" ht="12.75">
      <c r="A24" s="188" t="s">
        <v>186</v>
      </c>
      <c r="B24" s="166" t="s">
        <v>372</v>
      </c>
      <c r="C24" s="166" t="s">
        <v>372</v>
      </c>
      <c r="D24" s="166" t="s">
        <v>372</v>
      </c>
      <c r="E24" s="166" t="s">
        <v>372</v>
      </c>
      <c r="F24" s="171">
        <v>43.52</v>
      </c>
      <c r="G24" s="169">
        <v>11.6</v>
      </c>
      <c r="H24" s="169">
        <f>F24*G24/1000</f>
        <v>0.504832</v>
      </c>
      <c r="I24" s="195" t="s">
        <v>372</v>
      </c>
    </row>
    <row r="25" spans="1:9" ht="12.75">
      <c r="A25" s="188" t="s">
        <v>38</v>
      </c>
      <c r="B25" s="166" t="s">
        <v>372</v>
      </c>
      <c r="C25" s="166" t="s">
        <v>372</v>
      </c>
      <c r="D25" s="166" t="s">
        <v>372</v>
      </c>
      <c r="E25" s="166" t="s">
        <v>372</v>
      </c>
      <c r="F25" s="175">
        <v>43.52</v>
      </c>
      <c r="G25" s="169">
        <v>11.6</v>
      </c>
      <c r="H25" s="164">
        <f>F25*G25/1000</f>
        <v>0.504832</v>
      </c>
      <c r="I25" s="195" t="s">
        <v>372</v>
      </c>
    </row>
    <row r="26" spans="1:9" ht="12.75">
      <c r="A26" s="188" t="s">
        <v>40</v>
      </c>
      <c r="B26" s="166" t="s">
        <v>372</v>
      </c>
      <c r="C26" s="166" t="s">
        <v>372</v>
      </c>
      <c r="D26" s="166" t="s">
        <v>372</v>
      </c>
      <c r="E26" s="166" t="s">
        <v>372</v>
      </c>
      <c r="F26" s="166">
        <v>0</v>
      </c>
      <c r="G26" s="169">
        <v>11.6</v>
      </c>
      <c r="H26" s="164">
        <f>F26*G26/1000</f>
        <v>0</v>
      </c>
      <c r="I26" s="195" t="s">
        <v>372</v>
      </c>
    </row>
    <row r="27" spans="1:9" ht="13.5" thickBot="1">
      <c r="A27" s="192" t="s">
        <v>42</v>
      </c>
      <c r="B27" s="182" t="s">
        <v>372</v>
      </c>
      <c r="C27" s="182" t="s">
        <v>372</v>
      </c>
      <c r="D27" s="182" t="s">
        <v>372</v>
      </c>
      <c r="E27" s="182" t="s">
        <v>372</v>
      </c>
      <c r="F27" s="182">
        <v>0</v>
      </c>
      <c r="G27" s="169">
        <v>11.6</v>
      </c>
      <c r="H27" s="183">
        <f>F27*G27/1000</f>
        <v>0</v>
      </c>
      <c r="I27" s="196" t="s">
        <v>372</v>
      </c>
    </row>
    <row r="28" spans="1:9" ht="12.75">
      <c r="A28" s="194"/>
      <c r="B28" s="353" t="s">
        <v>410</v>
      </c>
      <c r="C28" s="354"/>
      <c r="D28" s="354"/>
      <c r="E28" s="354"/>
      <c r="F28" s="354"/>
      <c r="G28" s="354"/>
      <c r="H28" s="354"/>
      <c r="I28" s="355"/>
    </row>
    <row r="29" spans="1:9" ht="12.75">
      <c r="A29" s="188" t="s">
        <v>186</v>
      </c>
      <c r="B29" s="166" t="s">
        <v>372</v>
      </c>
      <c r="C29" s="166" t="s">
        <v>372</v>
      </c>
      <c r="D29" s="166" t="s">
        <v>372</v>
      </c>
      <c r="E29" s="166" t="s">
        <v>372</v>
      </c>
      <c r="F29" s="172">
        <v>31.95</v>
      </c>
      <c r="G29" s="169">
        <v>1.79</v>
      </c>
      <c r="H29" s="169">
        <f>F29*G29</f>
        <v>57.1905</v>
      </c>
      <c r="I29" s="195" t="s">
        <v>372</v>
      </c>
    </row>
    <row r="30" spans="1:9" ht="12.75">
      <c r="A30" s="188" t="s">
        <v>38</v>
      </c>
      <c r="B30" s="166" t="s">
        <v>372</v>
      </c>
      <c r="C30" s="166" t="s">
        <v>372</v>
      </c>
      <c r="D30" s="166" t="s">
        <v>372</v>
      </c>
      <c r="E30" s="166" t="s">
        <v>372</v>
      </c>
      <c r="F30" s="166">
        <v>31.95</v>
      </c>
      <c r="G30" s="164">
        <v>1.79</v>
      </c>
      <c r="H30" s="164">
        <f>F30*G30</f>
        <v>57.1905</v>
      </c>
      <c r="I30" s="195" t="s">
        <v>372</v>
      </c>
    </row>
    <row r="31" spans="1:9" ht="12.75">
      <c r="A31" s="188" t="s">
        <v>40</v>
      </c>
      <c r="B31" s="166" t="s">
        <v>372</v>
      </c>
      <c r="C31" s="166" t="s">
        <v>372</v>
      </c>
      <c r="D31" s="166" t="s">
        <v>372</v>
      </c>
      <c r="E31" s="166" t="s">
        <v>372</v>
      </c>
      <c r="F31" s="166">
        <v>0</v>
      </c>
      <c r="G31" s="164">
        <v>1.79</v>
      </c>
      <c r="H31" s="164">
        <f>F31*G31</f>
        <v>0</v>
      </c>
      <c r="I31" s="195" t="s">
        <v>372</v>
      </c>
    </row>
    <row r="32" spans="1:9" ht="13.5" thickBot="1">
      <c r="A32" s="192" t="s">
        <v>42</v>
      </c>
      <c r="B32" s="182" t="s">
        <v>372</v>
      </c>
      <c r="C32" s="182" t="s">
        <v>372</v>
      </c>
      <c r="D32" s="182" t="s">
        <v>372</v>
      </c>
      <c r="E32" s="182" t="s">
        <v>372</v>
      </c>
      <c r="F32" s="182">
        <v>0</v>
      </c>
      <c r="G32" s="183">
        <v>1.79</v>
      </c>
      <c r="H32" s="183">
        <f>F32*G32</f>
        <v>0</v>
      </c>
      <c r="I32" s="196" t="s">
        <v>372</v>
      </c>
    </row>
    <row r="33" spans="1:9" ht="12.75">
      <c r="A33" s="197" t="s">
        <v>411</v>
      </c>
      <c r="B33" s="229">
        <f>SUM(B34:B36)</f>
        <v>314.216</v>
      </c>
      <c r="C33" s="230">
        <v>165.792</v>
      </c>
      <c r="D33" s="229">
        <f>SUM(D34:D36)</f>
        <v>52.09121749285715</v>
      </c>
      <c r="E33" s="230">
        <f>D33*7000/F33</f>
        <v>8378.45</v>
      </c>
      <c r="F33" s="229">
        <v>43.521</v>
      </c>
      <c r="G33" s="181" t="s">
        <v>372</v>
      </c>
      <c r="H33" s="209">
        <f>SUM(H14,H19,H24,H29)</f>
        <v>332.74413511000006</v>
      </c>
      <c r="I33" s="232">
        <f>H33/D33*1000</f>
        <v>6387.720447417583</v>
      </c>
    </row>
    <row r="34" spans="1:9" ht="15">
      <c r="A34" s="188" t="s">
        <v>38</v>
      </c>
      <c r="B34" s="166">
        <v>314.216</v>
      </c>
      <c r="C34" s="174">
        <f>C33</f>
        <v>165.792</v>
      </c>
      <c r="D34" s="175">
        <f>PRODUCT(F34,E34/7000)</f>
        <v>52.09121749285715</v>
      </c>
      <c r="E34" s="174">
        <v>8378.45</v>
      </c>
      <c r="F34" s="168">
        <v>43.521</v>
      </c>
      <c r="G34" s="166" t="s">
        <v>372</v>
      </c>
      <c r="H34" s="176">
        <f>SUM(H15,H20,H25,H30)</f>
        <v>332.74413511000006</v>
      </c>
      <c r="I34" s="205">
        <f>H34/D34*1000</f>
        <v>6387.720447417583</v>
      </c>
    </row>
    <row r="35" spans="1:9" ht="12.75">
      <c r="A35" s="188" t="s">
        <v>40</v>
      </c>
      <c r="B35" s="166">
        <v>0</v>
      </c>
      <c r="C35" s="174">
        <v>0</v>
      </c>
      <c r="D35" s="166">
        <v>0</v>
      </c>
      <c r="E35" s="174">
        <v>0</v>
      </c>
      <c r="F35" s="166">
        <v>0</v>
      </c>
      <c r="G35" s="166" t="s">
        <v>372</v>
      </c>
      <c r="H35" s="176">
        <v>0</v>
      </c>
      <c r="I35" s="233">
        <f>SUM(I16,I21,I26)</f>
        <v>0</v>
      </c>
    </row>
    <row r="36" spans="1:9" ht="13.5" thickBot="1">
      <c r="A36" s="192" t="s">
        <v>42</v>
      </c>
      <c r="B36" s="182">
        <v>0</v>
      </c>
      <c r="C36" s="184">
        <v>0</v>
      </c>
      <c r="D36" s="182">
        <v>0</v>
      </c>
      <c r="E36" s="184">
        <v>0</v>
      </c>
      <c r="F36" s="182">
        <v>0</v>
      </c>
      <c r="G36" s="182" t="s">
        <v>372</v>
      </c>
      <c r="H36" s="182">
        <v>0</v>
      </c>
      <c r="I36" s="196">
        <f>SUM(I17,I22,I27)</f>
        <v>0</v>
      </c>
    </row>
    <row r="37" spans="1:9" ht="12.75">
      <c r="A37" s="198" t="s">
        <v>187</v>
      </c>
      <c r="B37" s="176" t="s">
        <v>372</v>
      </c>
      <c r="C37" s="176" t="s">
        <v>372</v>
      </c>
      <c r="D37" s="177" t="s">
        <v>372</v>
      </c>
      <c r="E37" s="177" t="s">
        <v>372</v>
      </c>
      <c r="F37" s="178" t="s">
        <v>372</v>
      </c>
      <c r="G37" s="178" t="s">
        <v>372</v>
      </c>
      <c r="H37" s="178" t="s">
        <v>372</v>
      </c>
      <c r="I37" s="199" t="s">
        <v>372</v>
      </c>
    </row>
    <row r="38" spans="1:9" ht="12.75">
      <c r="A38" s="188" t="s">
        <v>38</v>
      </c>
      <c r="B38" s="166" t="s">
        <v>372</v>
      </c>
      <c r="C38" s="166" t="s">
        <v>372</v>
      </c>
      <c r="D38" s="165" t="s">
        <v>372</v>
      </c>
      <c r="E38" s="165" t="s">
        <v>372</v>
      </c>
      <c r="F38" s="167" t="s">
        <v>372</v>
      </c>
      <c r="G38" s="167" t="s">
        <v>372</v>
      </c>
      <c r="H38" s="167" t="s">
        <v>372</v>
      </c>
      <c r="I38" s="200" t="s">
        <v>372</v>
      </c>
    </row>
    <row r="39" spans="1:9" ht="12.75">
      <c r="A39" s="188" t="s">
        <v>40</v>
      </c>
      <c r="B39" s="166" t="s">
        <v>372</v>
      </c>
      <c r="C39" s="166" t="s">
        <v>372</v>
      </c>
      <c r="D39" s="165" t="s">
        <v>372</v>
      </c>
      <c r="E39" s="165" t="s">
        <v>372</v>
      </c>
      <c r="F39" s="167" t="s">
        <v>372</v>
      </c>
      <c r="G39" s="167" t="s">
        <v>372</v>
      </c>
      <c r="H39" s="167" t="s">
        <v>372</v>
      </c>
      <c r="I39" s="200" t="s">
        <v>372</v>
      </c>
    </row>
    <row r="40" spans="1:9" ht="13.5" thickBot="1">
      <c r="A40" s="192" t="s">
        <v>42</v>
      </c>
      <c r="B40" s="182" t="s">
        <v>372</v>
      </c>
      <c r="C40" s="182" t="s">
        <v>372</v>
      </c>
      <c r="D40" s="185" t="s">
        <v>372</v>
      </c>
      <c r="E40" s="185" t="s">
        <v>372</v>
      </c>
      <c r="F40" s="186" t="s">
        <v>372</v>
      </c>
      <c r="G40" s="186" t="s">
        <v>372</v>
      </c>
      <c r="H40" s="186" t="s">
        <v>372</v>
      </c>
      <c r="I40" s="201" t="s">
        <v>372</v>
      </c>
    </row>
    <row r="41" spans="1:9" ht="12.75">
      <c r="A41" s="198" t="s">
        <v>188</v>
      </c>
      <c r="B41" s="176" t="s">
        <v>372</v>
      </c>
      <c r="C41" s="176" t="s">
        <v>372</v>
      </c>
      <c r="D41" s="177" t="s">
        <v>372</v>
      </c>
      <c r="E41" s="177" t="s">
        <v>372</v>
      </c>
      <c r="F41" s="178" t="s">
        <v>372</v>
      </c>
      <c r="G41" s="178" t="s">
        <v>372</v>
      </c>
      <c r="H41" s="178" t="s">
        <v>372</v>
      </c>
      <c r="I41" s="199" t="s">
        <v>372</v>
      </c>
    </row>
    <row r="42" spans="1:9" ht="12.75">
      <c r="A42" s="188" t="s">
        <v>38</v>
      </c>
      <c r="B42" s="166" t="s">
        <v>372</v>
      </c>
      <c r="C42" s="166" t="s">
        <v>372</v>
      </c>
      <c r="D42" s="165" t="s">
        <v>372</v>
      </c>
      <c r="E42" s="165" t="s">
        <v>372</v>
      </c>
      <c r="F42" s="167" t="s">
        <v>372</v>
      </c>
      <c r="G42" s="167" t="s">
        <v>372</v>
      </c>
      <c r="H42" s="167" t="s">
        <v>372</v>
      </c>
      <c r="I42" s="200" t="s">
        <v>372</v>
      </c>
    </row>
    <row r="43" spans="1:9" ht="12.75">
      <c r="A43" s="188" t="s">
        <v>40</v>
      </c>
      <c r="B43" s="166" t="s">
        <v>372</v>
      </c>
      <c r="C43" s="166" t="s">
        <v>372</v>
      </c>
      <c r="D43" s="165" t="s">
        <v>372</v>
      </c>
      <c r="E43" s="165" t="s">
        <v>372</v>
      </c>
      <c r="F43" s="167" t="s">
        <v>372</v>
      </c>
      <c r="G43" s="167" t="s">
        <v>372</v>
      </c>
      <c r="H43" s="167" t="s">
        <v>372</v>
      </c>
      <c r="I43" s="200" t="s">
        <v>372</v>
      </c>
    </row>
    <row r="44" spans="1:9" ht="13.5" thickBot="1">
      <c r="A44" s="192" t="s">
        <v>42</v>
      </c>
      <c r="B44" s="182" t="s">
        <v>372</v>
      </c>
      <c r="C44" s="182" t="s">
        <v>372</v>
      </c>
      <c r="D44" s="185" t="s">
        <v>372</v>
      </c>
      <c r="E44" s="185" t="s">
        <v>372</v>
      </c>
      <c r="F44" s="186" t="s">
        <v>372</v>
      </c>
      <c r="G44" s="186" t="s">
        <v>372</v>
      </c>
      <c r="H44" s="186" t="s">
        <v>372</v>
      </c>
      <c r="I44" s="201" t="s">
        <v>372</v>
      </c>
    </row>
    <row r="45" spans="1:9" ht="12.75">
      <c r="A45" s="194" t="s">
        <v>189</v>
      </c>
      <c r="B45" s="176" t="s">
        <v>372</v>
      </c>
      <c r="C45" s="176" t="s">
        <v>372</v>
      </c>
      <c r="D45" s="176" t="s">
        <v>372</v>
      </c>
      <c r="E45" s="176" t="s">
        <v>372</v>
      </c>
      <c r="F45" s="176" t="s">
        <v>372</v>
      </c>
      <c r="G45" s="176" t="s">
        <v>372</v>
      </c>
      <c r="H45" s="176" t="s">
        <v>372</v>
      </c>
      <c r="I45" s="233" t="s">
        <v>372</v>
      </c>
    </row>
    <row r="46" spans="1:9" ht="12.75">
      <c r="A46" s="188" t="s">
        <v>38</v>
      </c>
      <c r="B46" s="176" t="s">
        <v>372</v>
      </c>
      <c r="C46" s="176" t="s">
        <v>372</v>
      </c>
      <c r="D46" s="176" t="s">
        <v>372</v>
      </c>
      <c r="E46" s="176" t="s">
        <v>372</v>
      </c>
      <c r="F46" s="176" t="s">
        <v>372</v>
      </c>
      <c r="G46" s="176" t="s">
        <v>372</v>
      </c>
      <c r="H46" s="176" t="s">
        <v>372</v>
      </c>
      <c r="I46" s="233" t="s">
        <v>372</v>
      </c>
    </row>
    <row r="47" spans="1:9" ht="12.75">
      <c r="A47" s="188" t="s">
        <v>40</v>
      </c>
      <c r="B47" s="176" t="s">
        <v>372</v>
      </c>
      <c r="C47" s="176" t="s">
        <v>372</v>
      </c>
      <c r="D47" s="176" t="s">
        <v>372</v>
      </c>
      <c r="E47" s="176" t="s">
        <v>372</v>
      </c>
      <c r="F47" s="176" t="s">
        <v>372</v>
      </c>
      <c r="G47" s="176" t="s">
        <v>372</v>
      </c>
      <c r="H47" s="176" t="s">
        <v>372</v>
      </c>
      <c r="I47" s="233" t="s">
        <v>372</v>
      </c>
    </row>
    <row r="48" spans="1:9" ht="13.5" thickBot="1">
      <c r="A48" s="192" t="s">
        <v>42</v>
      </c>
      <c r="B48" s="182" t="s">
        <v>372</v>
      </c>
      <c r="C48" s="182" t="s">
        <v>372</v>
      </c>
      <c r="D48" s="182" t="s">
        <v>372</v>
      </c>
      <c r="E48" s="182" t="s">
        <v>372</v>
      </c>
      <c r="F48" s="182" t="s">
        <v>372</v>
      </c>
      <c r="G48" s="182" t="s">
        <v>372</v>
      </c>
      <c r="H48" s="182" t="s">
        <v>372</v>
      </c>
      <c r="I48" s="196" t="s">
        <v>372</v>
      </c>
    </row>
    <row r="49" spans="1:9" ht="25.5">
      <c r="A49" s="208" t="s">
        <v>190</v>
      </c>
      <c r="B49" s="209">
        <f>SUM(B50:B52)</f>
        <v>314.216</v>
      </c>
      <c r="C49" s="180">
        <v>165.792</v>
      </c>
      <c r="D49" s="209">
        <f>SUM(D14,D45)</f>
        <v>52.09121749285715</v>
      </c>
      <c r="E49" s="230">
        <v>8378.45</v>
      </c>
      <c r="F49" s="235">
        <v>43.521</v>
      </c>
      <c r="G49" s="181"/>
      <c r="H49" s="181">
        <f>H33</f>
        <v>332.74413511000006</v>
      </c>
      <c r="I49" s="181">
        <f>I33</f>
        <v>6387.720447417583</v>
      </c>
    </row>
    <row r="50" spans="1:9" ht="15">
      <c r="A50" s="188" t="s">
        <v>38</v>
      </c>
      <c r="B50" s="167">
        <v>314.216</v>
      </c>
      <c r="C50" s="173">
        <v>165.792</v>
      </c>
      <c r="D50" s="166">
        <f>D34</f>
        <v>52.09121749285715</v>
      </c>
      <c r="E50" s="174">
        <v>8378.45</v>
      </c>
      <c r="F50" s="168">
        <v>43.521</v>
      </c>
      <c r="G50" s="167"/>
      <c r="H50" s="167">
        <f>H34</f>
        <v>332.74413511000006</v>
      </c>
      <c r="I50" s="202">
        <f>H50/D50*1000</f>
        <v>6387.720447417583</v>
      </c>
    </row>
    <row r="51" spans="1:9" ht="12.75">
      <c r="A51" s="188" t="s">
        <v>40</v>
      </c>
      <c r="B51" s="167">
        <v>0</v>
      </c>
      <c r="C51" s="174">
        <v>0</v>
      </c>
      <c r="D51" s="166">
        <f>SUM(D47,D16)</f>
        <v>0</v>
      </c>
      <c r="E51" s="166" t="s">
        <v>372</v>
      </c>
      <c r="F51" s="167" t="s">
        <v>372</v>
      </c>
      <c r="G51" s="167"/>
      <c r="H51" s="167"/>
      <c r="I51" s="202"/>
    </row>
    <row r="52" spans="1:9" ht="13.5" thickBot="1">
      <c r="A52" s="192" t="s">
        <v>42</v>
      </c>
      <c r="B52" s="186">
        <v>0</v>
      </c>
      <c r="C52" s="184">
        <v>0</v>
      </c>
      <c r="D52" s="182">
        <v>0</v>
      </c>
      <c r="E52" s="182" t="s">
        <v>372</v>
      </c>
      <c r="F52" s="186" t="s">
        <v>372</v>
      </c>
      <c r="G52" s="186"/>
      <c r="H52" s="186"/>
      <c r="I52" s="228"/>
    </row>
    <row r="54" spans="1:9" ht="15">
      <c r="A54" s="350" t="s">
        <v>403</v>
      </c>
      <c r="B54" s="350"/>
      <c r="C54" s="350"/>
      <c r="D54" s="350"/>
      <c r="E54" s="350"/>
      <c r="F54" s="350"/>
      <c r="G54" s="350"/>
      <c r="H54" s="350"/>
      <c r="I54" s="350"/>
    </row>
    <row r="55" spans="1:9" ht="12.75">
      <c r="A55" s="351"/>
      <c r="B55" s="351"/>
      <c r="C55" s="351"/>
      <c r="D55" s="351"/>
      <c r="E55" s="351"/>
      <c r="F55" s="351"/>
      <c r="G55" s="351"/>
      <c r="H55" s="351"/>
      <c r="I55" s="351"/>
    </row>
    <row r="56" spans="1:9" ht="12.75">
      <c r="A56" s="352" t="s">
        <v>404</v>
      </c>
      <c r="B56" s="352"/>
      <c r="C56" s="352"/>
      <c r="D56" s="352"/>
      <c r="E56" s="352"/>
      <c r="F56" s="352"/>
      <c r="G56" s="352"/>
      <c r="H56" s="352"/>
      <c r="I56" s="352"/>
    </row>
  </sheetData>
  <sheetProtection/>
  <mergeCells count="13">
    <mergeCell ref="A10:I10"/>
    <mergeCell ref="A11:I11"/>
    <mergeCell ref="F2:I6"/>
    <mergeCell ref="A7:I7"/>
    <mergeCell ref="A8:I8"/>
    <mergeCell ref="A9:I9"/>
    <mergeCell ref="A56:I56"/>
    <mergeCell ref="B13:I13"/>
    <mergeCell ref="B18:I18"/>
    <mergeCell ref="B23:I23"/>
    <mergeCell ref="B28:I28"/>
    <mergeCell ref="A54:I54"/>
    <mergeCell ref="A55:I55"/>
  </mergeCells>
  <printOptions/>
  <pageMargins left="0.49" right="0.5" top="0.31496062992125984" bottom="0.31496062992125984" header="0.31496062992125984" footer="0.31496062992125984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9"/>
  <sheetViews>
    <sheetView zoomScalePageLayoutView="0" workbookViewId="0" topLeftCell="A25">
      <selection activeCell="P38" sqref="P38"/>
    </sheetView>
  </sheetViews>
  <sheetFormatPr defaultColWidth="9.140625" defaultRowHeight="12.75"/>
  <cols>
    <col min="1" max="1" width="31.00390625" style="0" customWidth="1"/>
  </cols>
  <sheetData>
    <row r="1" spans="1:15" ht="82.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372" t="s">
        <v>443</v>
      </c>
      <c r="L1" s="372"/>
      <c r="M1" s="372"/>
      <c r="N1" s="372"/>
      <c r="O1" s="372"/>
    </row>
    <row r="2" spans="1:15" ht="15">
      <c r="A2" s="371" t="s">
        <v>444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ht="15">
      <c r="A3" s="371" t="s">
        <v>511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5" ht="15">
      <c r="A4" s="252"/>
      <c r="B4" s="252"/>
      <c r="C4" s="374" t="s">
        <v>445</v>
      </c>
      <c r="D4" s="374"/>
      <c r="E4" s="374"/>
      <c r="F4" s="374"/>
      <c r="G4" s="374"/>
      <c r="H4" s="374"/>
      <c r="I4" s="374"/>
      <c r="J4" s="374"/>
      <c r="K4" s="374"/>
      <c r="L4" s="252"/>
      <c r="M4" s="252"/>
      <c r="N4" s="375" t="s">
        <v>46</v>
      </c>
      <c r="O4" s="375"/>
    </row>
    <row r="5" spans="1:15" ht="38.25">
      <c r="A5" s="253" t="s">
        <v>154</v>
      </c>
      <c r="B5" s="254" t="s">
        <v>47</v>
      </c>
      <c r="C5" s="254" t="s">
        <v>446</v>
      </c>
      <c r="D5" s="254" t="s">
        <v>4</v>
      </c>
      <c r="E5" s="254" t="s">
        <v>5</v>
      </c>
      <c r="F5" s="254" t="s">
        <v>6</v>
      </c>
      <c r="G5" s="254" t="s">
        <v>7</v>
      </c>
      <c r="H5" s="254" t="s">
        <v>8</v>
      </c>
      <c r="I5" s="254" t="s">
        <v>9</v>
      </c>
      <c r="J5" s="254" t="s">
        <v>10</v>
      </c>
      <c r="K5" s="254" t="s">
        <v>11</v>
      </c>
      <c r="L5" s="254" t="s">
        <v>12</v>
      </c>
      <c r="M5" s="254" t="s">
        <v>13</v>
      </c>
      <c r="N5" s="254" t="s">
        <v>14</v>
      </c>
      <c r="O5" s="254" t="s">
        <v>15</v>
      </c>
    </row>
    <row r="6" spans="1:15" ht="12.75">
      <c r="A6" s="256">
        <v>1</v>
      </c>
      <c r="B6" s="254">
        <v>2</v>
      </c>
      <c r="C6" s="254">
        <v>3</v>
      </c>
      <c r="D6" s="254">
        <v>4</v>
      </c>
      <c r="E6" s="254">
        <v>5</v>
      </c>
      <c r="F6" s="254">
        <v>6</v>
      </c>
      <c r="G6" s="254">
        <v>7</v>
      </c>
      <c r="H6" s="254">
        <v>8</v>
      </c>
      <c r="I6" s="254">
        <v>9</v>
      </c>
      <c r="J6" s="254">
        <v>10</v>
      </c>
      <c r="K6" s="254">
        <v>11</v>
      </c>
      <c r="L6" s="254">
        <v>12</v>
      </c>
      <c r="M6" s="254">
        <v>13</v>
      </c>
      <c r="N6" s="254">
        <v>14</v>
      </c>
      <c r="O6" s="254">
        <v>15</v>
      </c>
    </row>
    <row r="7" spans="1:15" ht="12.75">
      <c r="A7" s="376" t="s">
        <v>447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ht="24" customHeight="1">
      <c r="A8" s="257" t="s">
        <v>448</v>
      </c>
      <c r="B8" s="254" t="s">
        <v>18</v>
      </c>
      <c r="C8" s="273">
        <f>SUM(D8:O8)</f>
        <v>49356.780999999995</v>
      </c>
      <c r="D8" s="274">
        <f>'Річний план общ'!G17</f>
        <v>11664.742</v>
      </c>
      <c r="E8" s="274">
        <f>'Річний план общ'!H17</f>
        <v>9171.873</v>
      </c>
      <c r="F8" s="274">
        <f>'Річний план общ'!I17</f>
        <v>7550.838</v>
      </c>
      <c r="G8" s="274">
        <f>'Річний план общ'!J17</f>
        <v>997.819</v>
      </c>
      <c r="H8" s="274">
        <f>'Річний план общ'!K17</f>
        <v>0</v>
      </c>
      <c r="I8" s="274">
        <f>'Річний план общ'!L17</f>
        <v>0</v>
      </c>
      <c r="J8" s="274">
        <f>'Річний план общ'!M17</f>
        <v>0</v>
      </c>
      <c r="K8" s="274">
        <f>'Річний план общ'!N17</f>
        <v>0</v>
      </c>
      <c r="L8" s="274">
        <f>'Річний план общ'!O17</f>
        <v>0</v>
      </c>
      <c r="M8" s="274">
        <f>'Річний план общ'!P17</f>
        <v>2066.193</v>
      </c>
      <c r="N8" s="274">
        <f>'Річний план общ'!Q17</f>
        <v>8063.187</v>
      </c>
      <c r="O8" s="274">
        <f>'Річний план общ'!R17</f>
        <v>9842.129</v>
      </c>
    </row>
    <row r="9" spans="1:15" ht="40.5" customHeight="1">
      <c r="A9" s="257" t="s">
        <v>191</v>
      </c>
      <c r="B9" s="254" t="s">
        <v>475</v>
      </c>
      <c r="C9" s="275">
        <v>24.9</v>
      </c>
      <c r="D9" s="275">
        <v>24.9</v>
      </c>
      <c r="E9" s="275">
        <v>24.9</v>
      </c>
      <c r="F9" s="275">
        <v>24.9</v>
      </c>
      <c r="G9" s="275">
        <v>24.9</v>
      </c>
      <c r="H9" s="275">
        <v>24.9</v>
      </c>
      <c r="I9" s="275">
        <v>24.9</v>
      </c>
      <c r="J9" s="275">
        <v>24.9</v>
      </c>
      <c r="K9" s="275">
        <v>24.9</v>
      </c>
      <c r="L9" s="275">
        <v>24.9</v>
      </c>
      <c r="M9" s="275">
        <v>24.9</v>
      </c>
      <c r="N9" s="275">
        <v>24.9</v>
      </c>
      <c r="O9" s="275">
        <v>24.9</v>
      </c>
    </row>
    <row r="10" spans="1:15" ht="3.75" customHeight="1">
      <c r="A10" s="257"/>
      <c r="B10" s="254"/>
      <c r="C10" s="274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</row>
    <row r="11" spans="1:15" ht="30" customHeight="1">
      <c r="A11" s="257" t="s">
        <v>192</v>
      </c>
      <c r="B11" s="254" t="s">
        <v>193</v>
      </c>
      <c r="C11" s="273">
        <f>SUM(D11:O11)</f>
        <v>528.3685</v>
      </c>
      <c r="D11" s="273">
        <f>D25</f>
        <v>113.3553</v>
      </c>
      <c r="E11" s="273">
        <f>E25</f>
        <v>105.0382</v>
      </c>
      <c r="F11" s="273">
        <f>F25</f>
        <v>79.7587</v>
      </c>
      <c r="G11" s="273">
        <f>G25</f>
        <v>16.694</v>
      </c>
      <c r="H11" s="273">
        <f>H8*H9/1000</f>
        <v>0</v>
      </c>
      <c r="I11" s="273">
        <f>I8*I9/1000</f>
        <v>0</v>
      </c>
      <c r="J11" s="273">
        <f>J8*J9/1000</f>
        <v>0</v>
      </c>
      <c r="K11" s="273">
        <f>K8*K9/1000</f>
        <v>0</v>
      </c>
      <c r="L11" s="273">
        <f>L8*L9/1000</f>
        <v>0</v>
      </c>
      <c r="M11" s="273">
        <f>M25</f>
        <v>24.682</v>
      </c>
      <c r="N11" s="273">
        <f>N25</f>
        <v>77.626</v>
      </c>
      <c r="O11" s="273">
        <f>O25</f>
        <v>111.2143</v>
      </c>
    </row>
    <row r="12" spans="1:15" ht="30" customHeight="1">
      <c r="A12" s="257" t="s">
        <v>486</v>
      </c>
      <c r="B12" s="254" t="s">
        <v>193</v>
      </c>
      <c r="C12" s="273">
        <f>'електроенергія КОПИЛЕНКА'!C11</f>
        <v>1.56</v>
      </c>
      <c r="D12" s="273">
        <f>'електроенергія КОПИЛЕНКА'!D11</f>
        <v>0.286</v>
      </c>
      <c r="E12" s="273">
        <f>'електроенергія КОПИЛЕНКА'!E11</f>
        <v>0.258</v>
      </c>
      <c r="F12" s="273">
        <f>'електроенергія КОПИЛЕНКА'!F11</f>
        <v>0.286</v>
      </c>
      <c r="G12" s="273">
        <f>'електроенергія КОПИЛЕНКА'!G11</f>
        <v>0.062</v>
      </c>
      <c r="H12" s="273">
        <f>'електроенергія КОПИЛЕНКА'!H11</f>
        <v>0</v>
      </c>
      <c r="I12" s="273">
        <f>'електроенергія КОПИЛЕНКА'!I11</f>
        <v>0</v>
      </c>
      <c r="J12" s="273">
        <f>'електроенергія КОПИЛЕНКА'!J11</f>
        <v>0</v>
      </c>
      <c r="K12" s="273">
        <f>'електроенергія КОПИЛЕНКА'!K11</f>
        <v>0</v>
      </c>
      <c r="L12" s="273">
        <f>'електроенергія КОПИЛЕНКА'!L11</f>
        <v>0</v>
      </c>
      <c r="M12" s="273">
        <f>'електроенергія КОПИЛЕНКА'!M11</f>
        <v>0.104</v>
      </c>
      <c r="N12" s="273">
        <f>'електроенергія КОПИЛЕНКА'!N11</f>
        <v>0.277</v>
      </c>
      <c r="O12" s="273">
        <f>'електроенергія КОПИЛЕНКА'!O11</f>
        <v>0.287</v>
      </c>
    </row>
    <row r="13" spans="1:15" ht="30" customHeight="1">
      <c r="A13" s="257" t="s">
        <v>194</v>
      </c>
      <c r="B13" s="254" t="s">
        <v>449</v>
      </c>
      <c r="C13" s="273">
        <f>'електроенергія КОПИЛЕНКА'!C16</f>
        <v>308.4635</v>
      </c>
      <c r="D13" s="273">
        <f>'електроенергія КОПИЛЕНКА'!D16</f>
        <v>308.4635</v>
      </c>
      <c r="E13" s="273">
        <f>'електроенергія КОПИЛЕНКА'!E16</f>
        <v>308.4635</v>
      </c>
      <c r="F13" s="273">
        <f>'електроенергія КОПИЛЕНКА'!F16</f>
        <v>308.4635</v>
      </c>
      <c r="G13" s="273">
        <f>'електроенергія КОПИЛЕНКА'!G16</f>
        <v>308.4635</v>
      </c>
      <c r="H13" s="273">
        <f>'електроенергія КОПИЛЕНКА'!H16</f>
        <v>308.4635</v>
      </c>
      <c r="I13" s="273">
        <f>'електроенергія КОПИЛЕНКА'!I16</f>
        <v>308.4635</v>
      </c>
      <c r="J13" s="273">
        <f>'електроенергія КОПИЛЕНКА'!J16</f>
        <v>308.4635</v>
      </c>
      <c r="K13" s="273">
        <f>'електроенергія КОПИЛЕНКА'!K16</f>
        <v>308.4635</v>
      </c>
      <c r="L13" s="273">
        <f>'електроенергія КОПИЛЕНКА'!L16</f>
        <v>308.4635</v>
      </c>
      <c r="M13" s="273">
        <f>'електроенергія КОПИЛЕНКА'!M16</f>
        <v>308.4635</v>
      </c>
      <c r="N13" s="273">
        <f>'електроенергія КОПИЛЕНКА'!N16</f>
        <v>308.4635</v>
      </c>
      <c r="O13" s="273">
        <f>'електроенергія КОПИЛЕНКА'!O16</f>
        <v>308.4635</v>
      </c>
    </row>
    <row r="14" spans="1:15" ht="30" customHeight="1">
      <c r="A14" s="281" t="s">
        <v>491</v>
      </c>
      <c r="B14" s="282" t="s">
        <v>53</v>
      </c>
      <c r="C14" s="273">
        <f>C12*C13/100</f>
        <v>4.812030600000001</v>
      </c>
      <c r="D14" s="273">
        <f aca="true" t="shared" si="0" ref="D14:O14">D12*D13/100</f>
        <v>0.8822056099999999</v>
      </c>
      <c r="E14" s="273">
        <f t="shared" si="0"/>
        <v>0.79583583</v>
      </c>
      <c r="F14" s="273">
        <f t="shared" si="0"/>
        <v>0.8822056099999999</v>
      </c>
      <c r="G14" s="273">
        <f t="shared" si="0"/>
        <v>0.19124737</v>
      </c>
      <c r="H14" s="273">
        <f t="shared" si="0"/>
        <v>0</v>
      </c>
      <c r="I14" s="273">
        <f t="shared" si="0"/>
        <v>0</v>
      </c>
      <c r="J14" s="273">
        <f t="shared" si="0"/>
        <v>0</v>
      </c>
      <c r="K14" s="273">
        <f t="shared" si="0"/>
        <v>0</v>
      </c>
      <c r="L14" s="273">
        <f t="shared" si="0"/>
        <v>0</v>
      </c>
      <c r="M14" s="273">
        <f t="shared" si="0"/>
        <v>0.32080204</v>
      </c>
      <c r="N14" s="273">
        <f t="shared" si="0"/>
        <v>0.8544438950000002</v>
      </c>
      <c r="O14" s="273">
        <f t="shared" si="0"/>
        <v>0.8852902449999999</v>
      </c>
    </row>
    <row r="15" spans="1:15" ht="30" customHeight="1">
      <c r="A15" s="281" t="s">
        <v>490</v>
      </c>
      <c r="B15" s="282" t="s">
        <v>193</v>
      </c>
      <c r="C15" s="273">
        <f>C11-C12</f>
        <v>526.8085000000001</v>
      </c>
      <c r="D15" s="273">
        <f aca="true" t="shared" si="1" ref="D15:O15">D11-D12</f>
        <v>113.0693</v>
      </c>
      <c r="E15" s="273">
        <f t="shared" si="1"/>
        <v>104.78020000000001</v>
      </c>
      <c r="F15" s="273">
        <f t="shared" si="1"/>
        <v>79.4727</v>
      </c>
      <c r="G15" s="273">
        <f t="shared" si="1"/>
        <v>16.631999999999998</v>
      </c>
      <c r="H15" s="273">
        <f t="shared" si="1"/>
        <v>0</v>
      </c>
      <c r="I15" s="273">
        <f t="shared" si="1"/>
        <v>0</v>
      </c>
      <c r="J15" s="273">
        <f t="shared" si="1"/>
        <v>0</v>
      </c>
      <c r="K15" s="273">
        <f t="shared" si="1"/>
        <v>0</v>
      </c>
      <c r="L15" s="273">
        <f t="shared" si="1"/>
        <v>0</v>
      </c>
      <c r="M15" s="273">
        <f t="shared" si="1"/>
        <v>24.578</v>
      </c>
      <c r="N15" s="273">
        <f t="shared" si="1"/>
        <v>77.349</v>
      </c>
      <c r="O15" s="273">
        <f t="shared" si="1"/>
        <v>110.92729999999999</v>
      </c>
    </row>
    <row r="16" spans="1:15" ht="30" customHeight="1">
      <c r="A16" s="281" t="s">
        <v>492</v>
      </c>
      <c r="B16" s="282" t="s">
        <v>53</v>
      </c>
      <c r="C16" s="273">
        <f>C15*C26/100</f>
        <v>925.5435319480001</v>
      </c>
      <c r="D16" s="273">
        <f aca="true" t="shared" si="2" ref="D16:O16">D15*D26/100</f>
        <v>198.6500963384</v>
      </c>
      <c r="E16" s="273">
        <f t="shared" si="2"/>
        <v>184.0870760176</v>
      </c>
      <c r="F16" s="273">
        <f t="shared" si="2"/>
        <v>139.6246329576</v>
      </c>
      <c r="G16" s="273">
        <f t="shared" si="2"/>
        <v>29.220561215999993</v>
      </c>
      <c r="H16" s="273">
        <f t="shared" si="2"/>
        <v>0</v>
      </c>
      <c r="I16" s="273">
        <f t="shared" si="2"/>
        <v>0</v>
      </c>
      <c r="J16" s="273">
        <f t="shared" si="2"/>
        <v>0</v>
      </c>
      <c r="K16" s="273">
        <f t="shared" si="2"/>
        <v>0</v>
      </c>
      <c r="L16" s="273">
        <f t="shared" si="2"/>
        <v>0</v>
      </c>
      <c r="M16" s="273">
        <f t="shared" si="2"/>
        <v>43.180793263999995</v>
      </c>
      <c r="N16" s="273">
        <f t="shared" si="2"/>
        <v>135.893529912</v>
      </c>
      <c r="O16" s="273">
        <f t="shared" si="2"/>
        <v>194.88684224239998</v>
      </c>
    </row>
    <row r="17" spans="1:15" ht="30" customHeight="1">
      <c r="A17" s="257" t="s">
        <v>487</v>
      </c>
      <c r="B17" s="254" t="s">
        <v>193</v>
      </c>
      <c r="C17" s="273">
        <f>C11</f>
        <v>528.3685</v>
      </c>
      <c r="D17" s="273">
        <f aca="true" t="shared" si="3" ref="D17:O17">D11</f>
        <v>113.3553</v>
      </c>
      <c r="E17" s="273">
        <f t="shared" si="3"/>
        <v>105.0382</v>
      </c>
      <c r="F17" s="273">
        <f t="shared" si="3"/>
        <v>79.7587</v>
      </c>
      <c r="G17" s="273">
        <f t="shared" si="3"/>
        <v>16.694</v>
      </c>
      <c r="H17" s="273">
        <f t="shared" si="3"/>
        <v>0</v>
      </c>
      <c r="I17" s="273">
        <f t="shared" si="3"/>
        <v>0</v>
      </c>
      <c r="J17" s="273">
        <f t="shared" si="3"/>
        <v>0</v>
      </c>
      <c r="K17" s="273">
        <f t="shared" si="3"/>
        <v>0</v>
      </c>
      <c r="L17" s="273">
        <f t="shared" si="3"/>
        <v>0</v>
      </c>
      <c r="M17" s="273">
        <f t="shared" si="3"/>
        <v>24.682</v>
      </c>
      <c r="N17" s="273">
        <f t="shared" si="3"/>
        <v>77.626</v>
      </c>
      <c r="O17" s="273">
        <f t="shared" si="3"/>
        <v>111.2143</v>
      </c>
    </row>
    <row r="18" spans="1:15" ht="40.5" customHeight="1">
      <c r="A18" s="257" t="s">
        <v>488</v>
      </c>
      <c r="B18" s="254" t="s">
        <v>193</v>
      </c>
      <c r="C18" s="273">
        <f>C12</f>
        <v>1.56</v>
      </c>
      <c r="D18" s="273">
        <f aca="true" t="shared" si="4" ref="D18:O18">D12</f>
        <v>0.286</v>
      </c>
      <c r="E18" s="273">
        <f t="shared" si="4"/>
        <v>0.258</v>
      </c>
      <c r="F18" s="273">
        <f t="shared" si="4"/>
        <v>0.286</v>
      </c>
      <c r="G18" s="273">
        <f t="shared" si="4"/>
        <v>0.062</v>
      </c>
      <c r="H18" s="273">
        <f t="shared" si="4"/>
        <v>0</v>
      </c>
      <c r="I18" s="273">
        <f t="shared" si="4"/>
        <v>0</v>
      </c>
      <c r="J18" s="273">
        <f t="shared" si="4"/>
        <v>0</v>
      </c>
      <c r="K18" s="273">
        <f t="shared" si="4"/>
        <v>0</v>
      </c>
      <c r="L18" s="273">
        <f t="shared" si="4"/>
        <v>0</v>
      </c>
      <c r="M18" s="273">
        <f t="shared" si="4"/>
        <v>0.104</v>
      </c>
      <c r="N18" s="273">
        <f t="shared" si="4"/>
        <v>0.277</v>
      </c>
      <c r="O18" s="273">
        <f t="shared" si="4"/>
        <v>0.287</v>
      </c>
    </row>
    <row r="19" spans="1:15" ht="30" customHeight="1">
      <c r="A19" s="257" t="s">
        <v>489</v>
      </c>
      <c r="B19" s="254" t="s">
        <v>193</v>
      </c>
      <c r="C19" s="273">
        <f>C15</f>
        <v>526.8085000000001</v>
      </c>
      <c r="D19" s="273">
        <f aca="true" t="shared" si="5" ref="D19:O19">D15</f>
        <v>113.0693</v>
      </c>
      <c r="E19" s="273">
        <f t="shared" si="5"/>
        <v>104.78020000000001</v>
      </c>
      <c r="F19" s="273">
        <f t="shared" si="5"/>
        <v>79.4727</v>
      </c>
      <c r="G19" s="273">
        <f t="shared" si="5"/>
        <v>16.631999999999998</v>
      </c>
      <c r="H19" s="273">
        <f t="shared" si="5"/>
        <v>0</v>
      </c>
      <c r="I19" s="273">
        <f t="shared" si="5"/>
        <v>0</v>
      </c>
      <c r="J19" s="273">
        <f t="shared" si="5"/>
        <v>0</v>
      </c>
      <c r="K19" s="273">
        <f t="shared" si="5"/>
        <v>0</v>
      </c>
      <c r="L19" s="273">
        <f t="shared" si="5"/>
        <v>0</v>
      </c>
      <c r="M19" s="273">
        <f t="shared" si="5"/>
        <v>24.578</v>
      </c>
      <c r="N19" s="273">
        <f t="shared" si="5"/>
        <v>77.349</v>
      </c>
      <c r="O19" s="273">
        <f t="shared" si="5"/>
        <v>110.92729999999999</v>
      </c>
    </row>
    <row r="20" spans="1:15" ht="24" customHeight="1">
      <c r="A20" s="257" t="s">
        <v>479</v>
      </c>
      <c r="B20" s="254" t="s">
        <v>449</v>
      </c>
      <c r="C20" s="276">
        <v>82.039</v>
      </c>
      <c r="D20" s="276">
        <v>82.039</v>
      </c>
      <c r="E20" s="276">
        <v>82.039</v>
      </c>
      <c r="F20" s="276">
        <v>82.039</v>
      </c>
      <c r="G20" s="276">
        <v>82.039</v>
      </c>
      <c r="H20" s="276">
        <v>82.039</v>
      </c>
      <c r="I20" s="276">
        <v>82.039</v>
      </c>
      <c r="J20" s="276">
        <v>82.039</v>
      </c>
      <c r="K20" s="276">
        <v>82.039</v>
      </c>
      <c r="L20" s="276">
        <v>82.039</v>
      </c>
      <c r="M20" s="276">
        <v>82.039</v>
      </c>
      <c r="N20" s="276">
        <v>82.039</v>
      </c>
      <c r="O20" s="276">
        <v>82.039</v>
      </c>
    </row>
    <row r="21" spans="1:15" ht="24" customHeight="1">
      <c r="A21" s="257" t="s">
        <v>495</v>
      </c>
      <c r="B21" s="254" t="s">
        <v>449</v>
      </c>
      <c r="C21" s="276">
        <f>'електроенергія КОПИЛЕНКА'!C13</f>
        <v>90.744</v>
      </c>
      <c r="D21" s="276">
        <f>'електроенергія КОПИЛЕНКА'!D13</f>
        <v>90.744</v>
      </c>
      <c r="E21" s="276">
        <f>'електроенергія КОПИЛЕНКА'!E13</f>
        <v>90.744</v>
      </c>
      <c r="F21" s="276">
        <f>'електроенергія КОПИЛЕНКА'!F13</f>
        <v>90.744</v>
      </c>
      <c r="G21" s="276">
        <f>'електроенергія КОПИЛЕНКА'!G13</f>
        <v>90.744</v>
      </c>
      <c r="H21" s="276">
        <f>'електроенергія КОПИЛЕНКА'!H13</f>
        <v>90.744</v>
      </c>
      <c r="I21" s="276">
        <f>'електроенергія КОПИЛЕНКА'!I13</f>
        <v>90.744</v>
      </c>
      <c r="J21" s="276">
        <f>'електроенергія КОПИЛЕНКА'!J13</f>
        <v>90.744</v>
      </c>
      <c r="K21" s="276">
        <f>'електроенергія КОПИЛЕНКА'!K13</f>
        <v>90.744</v>
      </c>
      <c r="L21" s="276">
        <f>'електроенергія КОПИЛЕНКА'!L13</f>
        <v>90.744</v>
      </c>
      <c r="M21" s="276">
        <f>'електроенергія КОПИЛЕНКА'!M13</f>
        <v>90.744</v>
      </c>
      <c r="N21" s="276">
        <f>'електроенергія КОПИЛЕНКА'!N13</f>
        <v>90.744</v>
      </c>
      <c r="O21" s="276">
        <f>'електроенергія КОПИЛЕНКА'!O13</f>
        <v>90.744</v>
      </c>
    </row>
    <row r="22" spans="1:15" ht="28.5" customHeight="1">
      <c r="A22" s="281" t="s">
        <v>493</v>
      </c>
      <c r="B22" s="282" t="s">
        <v>53</v>
      </c>
      <c r="C22" s="273">
        <f>C19*C20/100</f>
        <v>432.1884253150001</v>
      </c>
      <c r="D22" s="273">
        <f aca="true" t="shared" si="6" ref="D22:O22">D19*D20/100</f>
        <v>92.760923027</v>
      </c>
      <c r="E22" s="273">
        <f t="shared" si="6"/>
        <v>85.960628278</v>
      </c>
      <c r="F22" s="273">
        <f t="shared" si="6"/>
        <v>65.198608353</v>
      </c>
      <c r="G22" s="273">
        <f t="shared" si="6"/>
        <v>13.64472648</v>
      </c>
      <c r="H22" s="273">
        <f t="shared" si="6"/>
        <v>0</v>
      </c>
      <c r="I22" s="273">
        <f t="shared" si="6"/>
        <v>0</v>
      </c>
      <c r="J22" s="273">
        <f t="shared" si="6"/>
        <v>0</v>
      </c>
      <c r="K22" s="273">
        <f t="shared" si="6"/>
        <v>0</v>
      </c>
      <c r="L22" s="273">
        <f t="shared" si="6"/>
        <v>0</v>
      </c>
      <c r="M22" s="273">
        <f t="shared" si="6"/>
        <v>20.163545420000002</v>
      </c>
      <c r="N22" s="273">
        <f t="shared" si="6"/>
        <v>63.456346110000005</v>
      </c>
      <c r="O22" s="273">
        <f t="shared" si="6"/>
        <v>91.003647647</v>
      </c>
    </row>
    <row r="23" spans="1:15" ht="28.5" customHeight="1">
      <c r="A23" s="281" t="s">
        <v>494</v>
      </c>
      <c r="B23" s="282" t="s">
        <v>53</v>
      </c>
      <c r="C23" s="273">
        <f>C18*C21/100</f>
        <v>1.4156064000000002</v>
      </c>
      <c r="D23" s="273">
        <f aca="true" t="shared" si="7" ref="D23:O23">D18*D21/100</f>
        <v>0.25952783999999995</v>
      </c>
      <c r="E23" s="273">
        <f t="shared" si="7"/>
        <v>0.23411952</v>
      </c>
      <c r="F23" s="273">
        <f t="shared" si="7"/>
        <v>0.25952783999999995</v>
      </c>
      <c r="G23" s="273">
        <f t="shared" si="7"/>
        <v>0.05626128</v>
      </c>
      <c r="H23" s="273">
        <f t="shared" si="7"/>
        <v>0</v>
      </c>
      <c r="I23" s="273">
        <f t="shared" si="7"/>
        <v>0</v>
      </c>
      <c r="J23" s="273">
        <f t="shared" si="7"/>
        <v>0</v>
      </c>
      <c r="K23" s="273">
        <f t="shared" si="7"/>
        <v>0</v>
      </c>
      <c r="L23" s="273">
        <f t="shared" si="7"/>
        <v>0</v>
      </c>
      <c r="M23" s="273">
        <f t="shared" si="7"/>
        <v>0.09437376</v>
      </c>
      <c r="N23" s="273">
        <f t="shared" si="7"/>
        <v>0.25136088</v>
      </c>
      <c r="O23" s="273">
        <f t="shared" si="7"/>
        <v>0.26043528</v>
      </c>
    </row>
    <row r="24" spans="1:15" ht="28.5" customHeight="1">
      <c r="A24" s="271" t="s">
        <v>496</v>
      </c>
      <c r="B24" s="272" t="s">
        <v>53</v>
      </c>
      <c r="C24" s="258">
        <f>C22+C23</f>
        <v>433.6040317150001</v>
      </c>
      <c r="D24" s="258">
        <f aca="true" t="shared" si="8" ref="D24:O24">D22+D23</f>
        <v>93.02045086700001</v>
      </c>
      <c r="E24" s="258">
        <f t="shared" si="8"/>
        <v>86.194747798</v>
      </c>
      <c r="F24" s="258">
        <f t="shared" si="8"/>
        <v>65.458136193</v>
      </c>
      <c r="G24" s="258">
        <f t="shared" si="8"/>
        <v>13.700987759999999</v>
      </c>
      <c r="H24" s="258">
        <f t="shared" si="8"/>
        <v>0</v>
      </c>
      <c r="I24" s="258">
        <f t="shared" si="8"/>
        <v>0</v>
      </c>
      <c r="J24" s="258">
        <f t="shared" si="8"/>
        <v>0</v>
      </c>
      <c r="K24" s="258">
        <f t="shared" si="8"/>
        <v>0</v>
      </c>
      <c r="L24" s="258">
        <f t="shared" si="8"/>
        <v>0</v>
      </c>
      <c r="M24" s="258">
        <f t="shared" si="8"/>
        <v>20.257919180000002</v>
      </c>
      <c r="N24" s="258">
        <f t="shared" si="8"/>
        <v>63.707706990000005</v>
      </c>
      <c r="O24" s="258">
        <f t="shared" si="8"/>
        <v>91.26408292699999</v>
      </c>
    </row>
    <row r="25" spans="1:15" ht="24.75" customHeight="1">
      <c r="A25" s="257" t="s">
        <v>450</v>
      </c>
      <c r="B25" s="254" t="s">
        <v>193</v>
      </c>
      <c r="C25" s="273">
        <f>SUM(D25:O25)</f>
        <v>528.3685</v>
      </c>
      <c r="D25" s="273">
        <v>113.3553</v>
      </c>
      <c r="E25" s="273">
        <v>105.0382</v>
      </c>
      <c r="F25" s="273">
        <v>79.7587</v>
      </c>
      <c r="G25" s="273">
        <v>16.694</v>
      </c>
      <c r="H25" s="273">
        <f>H11-H17</f>
        <v>0</v>
      </c>
      <c r="I25" s="273">
        <f>I11-I17</f>
        <v>0</v>
      </c>
      <c r="J25" s="273">
        <f>J11-J17</f>
        <v>0</v>
      </c>
      <c r="K25" s="273">
        <f>K11-K17</f>
        <v>0</v>
      </c>
      <c r="L25" s="273">
        <f>L11-L17</f>
        <v>0</v>
      </c>
      <c r="M25" s="273">
        <v>24.682</v>
      </c>
      <c r="N25" s="273">
        <v>77.626</v>
      </c>
      <c r="O25" s="273">
        <v>111.2143</v>
      </c>
    </row>
    <row r="26" spans="1:15" ht="24.75" customHeight="1">
      <c r="A26" s="257" t="s">
        <v>194</v>
      </c>
      <c r="B26" s="254" t="s">
        <v>449</v>
      </c>
      <c r="C26" s="276">
        <v>175.6888</v>
      </c>
      <c r="D26" s="277">
        <f>C26</f>
        <v>175.6888</v>
      </c>
      <c r="E26" s="277">
        <f aca="true" t="shared" si="9" ref="E26:O26">D26</f>
        <v>175.6888</v>
      </c>
      <c r="F26" s="277">
        <f t="shared" si="9"/>
        <v>175.6888</v>
      </c>
      <c r="G26" s="277">
        <f t="shared" si="9"/>
        <v>175.6888</v>
      </c>
      <c r="H26" s="277">
        <f t="shared" si="9"/>
        <v>175.6888</v>
      </c>
      <c r="I26" s="277">
        <f t="shared" si="9"/>
        <v>175.6888</v>
      </c>
      <c r="J26" s="277">
        <f t="shared" si="9"/>
        <v>175.6888</v>
      </c>
      <c r="K26" s="277">
        <f t="shared" si="9"/>
        <v>175.6888</v>
      </c>
      <c r="L26" s="277">
        <f t="shared" si="9"/>
        <v>175.6888</v>
      </c>
      <c r="M26" s="277">
        <f t="shared" si="9"/>
        <v>175.6888</v>
      </c>
      <c r="N26" s="277">
        <f t="shared" si="9"/>
        <v>175.6888</v>
      </c>
      <c r="O26" s="277">
        <f t="shared" si="9"/>
        <v>175.6888</v>
      </c>
    </row>
    <row r="27" spans="1:16" ht="30" customHeight="1">
      <c r="A27" s="271" t="s">
        <v>497</v>
      </c>
      <c r="B27" s="272" t="s">
        <v>53</v>
      </c>
      <c r="C27" s="258">
        <f>C14+C16</f>
        <v>930.3555625480001</v>
      </c>
      <c r="D27" s="258">
        <f aca="true" t="shared" si="10" ref="D27:O27">D14+D16</f>
        <v>199.5323019484</v>
      </c>
      <c r="E27" s="258">
        <f t="shared" si="10"/>
        <v>184.88291184759998</v>
      </c>
      <c r="F27" s="258">
        <f t="shared" si="10"/>
        <v>140.5068385676</v>
      </c>
      <c r="G27" s="258">
        <f t="shared" si="10"/>
        <v>29.411808585999992</v>
      </c>
      <c r="H27" s="258">
        <f t="shared" si="10"/>
        <v>0</v>
      </c>
      <c r="I27" s="258">
        <f t="shared" si="10"/>
        <v>0</v>
      </c>
      <c r="J27" s="258">
        <f t="shared" si="10"/>
        <v>0</v>
      </c>
      <c r="K27" s="258">
        <f t="shared" si="10"/>
        <v>0</v>
      </c>
      <c r="L27" s="258">
        <f t="shared" si="10"/>
        <v>0</v>
      </c>
      <c r="M27" s="258">
        <f t="shared" si="10"/>
        <v>43.50159530399999</v>
      </c>
      <c r="N27" s="258">
        <f t="shared" si="10"/>
        <v>136.747973807</v>
      </c>
      <c r="O27" s="258">
        <f t="shared" si="10"/>
        <v>195.77213248739997</v>
      </c>
      <c r="P27" s="44"/>
    </row>
    <row r="28" spans="1:15" ht="27" customHeight="1">
      <c r="A28" s="257" t="s">
        <v>452</v>
      </c>
      <c r="B28" s="254" t="s">
        <v>193</v>
      </c>
      <c r="C28" s="259">
        <v>0</v>
      </c>
      <c r="D28" s="260"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</row>
    <row r="29" spans="1:15" ht="24" customHeight="1">
      <c r="A29" s="257" t="s">
        <v>453</v>
      </c>
      <c r="B29" s="254" t="s">
        <v>449</v>
      </c>
      <c r="C29" s="259">
        <v>0</v>
      </c>
      <c r="D29" s="260">
        <v>0</v>
      </c>
      <c r="E29" s="260">
        <v>0</v>
      </c>
      <c r="F29" s="260">
        <v>0</v>
      </c>
      <c r="G29" s="260">
        <v>0</v>
      </c>
      <c r="H29" s="260">
        <v>0</v>
      </c>
      <c r="I29" s="260">
        <v>0</v>
      </c>
      <c r="J29" s="260">
        <v>0</v>
      </c>
      <c r="K29" s="260">
        <v>0</v>
      </c>
      <c r="L29" s="260">
        <v>0</v>
      </c>
      <c r="M29" s="260">
        <v>0</v>
      </c>
      <c r="N29" s="260">
        <v>0</v>
      </c>
      <c r="O29" s="260">
        <v>0</v>
      </c>
    </row>
    <row r="30" spans="1:15" ht="26.25" customHeight="1">
      <c r="A30" s="257" t="s">
        <v>454</v>
      </c>
      <c r="B30" s="254" t="s">
        <v>53</v>
      </c>
      <c r="C30" s="259">
        <v>0</v>
      </c>
      <c r="D30" s="260">
        <v>0</v>
      </c>
      <c r="E30" s="260">
        <v>0</v>
      </c>
      <c r="F30" s="260">
        <v>0</v>
      </c>
      <c r="G30" s="260">
        <v>0</v>
      </c>
      <c r="H30" s="260">
        <v>0</v>
      </c>
      <c r="I30" s="260">
        <v>0</v>
      </c>
      <c r="J30" s="260">
        <v>0</v>
      </c>
      <c r="K30" s="260">
        <v>0</v>
      </c>
      <c r="L30" s="260">
        <v>0</v>
      </c>
      <c r="M30" s="260">
        <v>0</v>
      </c>
      <c r="N30" s="260">
        <v>0</v>
      </c>
      <c r="O30" s="260">
        <v>0</v>
      </c>
    </row>
    <row r="31" spans="1:15" ht="27.75" customHeight="1">
      <c r="A31" s="257" t="s">
        <v>483</v>
      </c>
      <c r="B31" s="254" t="s">
        <v>53</v>
      </c>
      <c r="C31" s="261">
        <f>C22+C27</f>
        <v>1362.5439878630002</v>
      </c>
      <c r="D31" s="261">
        <f aca="true" t="shared" si="11" ref="D31:O31">D22+D27</f>
        <v>292.2932249754</v>
      </c>
      <c r="E31" s="261">
        <f t="shared" si="11"/>
        <v>270.8435401256</v>
      </c>
      <c r="F31" s="261">
        <f t="shared" si="11"/>
        <v>205.7054469206</v>
      </c>
      <c r="G31" s="261">
        <f t="shared" si="11"/>
        <v>43.056535065999995</v>
      </c>
      <c r="H31" s="261">
        <f t="shared" si="11"/>
        <v>0</v>
      </c>
      <c r="I31" s="261">
        <f t="shared" si="11"/>
        <v>0</v>
      </c>
      <c r="J31" s="261">
        <f t="shared" si="11"/>
        <v>0</v>
      </c>
      <c r="K31" s="261">
        <f t="shared" si="11"/>
        <v>0</v>
      </c>
      <c r="L31" s="261">
        <f t="shared" si="11"/>
        <v>0</v>
      </c>
      <c r="M31" s="261">
        <f t="shared" si="11"/>
        <v>63.665140724</v>
      </c>
      <c r="N31" s="261">
        <f t="shared" si="11"/>
        <v>200.204319917</v>
      </c>
      <c r="O31" s="261">
        <f t="shared" si="11"/>
        <v>286.77578013439995</v>
      </c>
    </row>
    <row r="32" spans="1:15" ht="37.5" customHeight="1">
      <c r="A32" s="257" t="s">
        <v>456</v>
      </c>
      <c r="B32" s="254" t="s">
        <v>457</v>
      </c>
      <c r="C32" s="273">
        <f>SUM(D32:O32)</f>
        <v>46.119040000000005</v>
      </c>
      <c r="D32" s="262">
        <f>22.666*44%</f>
        <v>9.973040000000001</v>
      </c>
      <c r="E32" s="262">
        <f>17.881*44%</f>
        <v>7.86764</v>
      </c>
      <c r="F32" s="262">
        <f>16.946*44%</f>
        <v>7.456240000000001</v>
      </c>
      <c r="G32" s="262">
        <f>3.945*44%</f>
        <v>1.7358</v>
      </c>
      <c r="H32" s="262">
        <f>0.324*44%</f>
        <v>0.14256</v>
      </c>
      <c r="I32" s="262">
        <f>0.071*44%</f>
        <v>0.031239999999999997</v>
      </c>
      <c r="J32" s="262">
        <f>0.342*44%</f>
        <v>0.15048</v>
      </c>
      <c r="K32" s="262">
        <f>0.322*44%</f>
        <v>0.14168</v>
      </c>
      <c r="L32" s="262">
        <f>0.388*44%</f>
        <v>0.17072</v>
      </c>
      <c r="M32" s="262">
        <f>0.823*44%</f>
        <v>0.36212</v>
      </c>
      <c r="N32" s="262">
        <f>18.884*44%</f>
        <v>8.30896</v>
      </c>
      <c r="O32" s="262">
        <f>22.224*44%</f>
        <v>9.77856</v>
      </c>
    </row>
    <row r="33" spans="1:15" ht="39.75" customHeight="1">
      <c r="A33" s="257" t="s">
        <v>458</v>
      </c>
      <c r="B33" s="254" t="s">
        <v>459</v>
      </c>
      <c r="C33" s="263">
        <v>142.004</v>
      </c>
      <c r="D33" s="263">
        <v>142.004</v>
      </c>
      <c r="E33" s="263">
        <v>142.004</v>
      </c>
      <c r="F33" s="263">
        <v>142.004</v>
      </c>
      <c r="G33" s="263">
        <v>142.004</v>
      </c>
      <c r="H33" s="263">
        <v>142.004</v>
      </c>
      <c r="I33" s="263">
        <v>142.004</v>
      </c>
      <c r="J33" s="263">
        <v>142.004</v>
      </c>
      <c r="K33" s="263">
        <v>142.004</v>
      </c>
      <c r="L33" s="263">
        <v>142.004</v>
      </c>
      <c r="M33" s="263">
        <v>142.004</v>
      </c>
      <c r="N33" s="263">
        <v>142.004</v>
      </c>
      <c r="O33" s="263">
        <v>142.004</v>
      </c>
    </row>
    <row r="34" spans="1:15" ht="29.25" customHeight="1">
      <c r="A34" s="271" t="s">
        <v>460</v>
      </c>
      <c r="B34" s="272" t="s">
        <v>53</v>
      </c>
      <c r="C34" s="258">
        <f>C32*C33/100</f>
        <v>65.4908815616</v>
      </c>
      <c r="D34" s="258">
        <f aca="true" t="shared" si="12" ref="D34:O34">D32*D33/100</f>
        <v>14.162115721600001</v>
      </c>
      <c r="E34" s="258">
        <f t="shared" si="12"/>
        <v>11.172363505599998</v>
      </c>
      <c r="F34" s="258">
        <f t="shared" si="12"/>
        <v>10.588159049600002</v>
      </c>
      <c r="G34" s="258">
        <f t="shared" si="12"/>
        <v>2.464905432</v>
      </c>
      <c r="H34" s="258">
        <f t="shared" si="12"/>
        <v>0.20244090239999998</v>
      </c>
      <c r="I34" s="258">
        <f t="shared" si="12"/>
        <v>0.044362049599999995</v>
      </c>
      <c r="J34" s="258">
        <f t="shared" si="12"/>
        <v>0.2136876192</v>
      </c>
      <c r="K34" s="258">
        <f t="shared" si="12"/>
        <v>0.20119126719999997</v>
      </c>
      <c r="L34" s="258">
        <f t="shared" si="12"/>
        <v>0.24242922879999998</v>
      </c>
      <c r="M34" s="258">
        <f t="shared" si="12"/>
        <v>0.5142248848</v>
      </c>
      <c r="N34" s="258">
        <f t="shared" si="12"/>
        <v>11.799055558400001</v>
      </c>
      <c r="O34" s="258">
        <f t="shared" si="12"/>
        <v>13.8859463424</v>
      </c>
    </row>
    <row r="35" spans="1:15" ht="27" customHeight="1">
      <c r="A35" s="257" t="s">
        <v>461</v>
      </c>
      <c r="B35" s="254" t="s">
        <v>462</v>
      </c>
      <c r="C35" s="256">
        <f>SUM(D35:O35)</f>
        <v>0.17820000000000003</v>
      </c>
      <c r="D35" s="256">
        <f>0.044*44%</f>
        <v>0.01936</v>
      </c>
      <c r="E35" s="256">
        <f>0.075*44%</f>
        <v>0.033</v>
      </c>
      <c r="F35" s="256">
        <f>0.095*44%</f>
        <v>0.041800000000000004</v>
      </c>
      <c r="G35" s="256">
        <f>0.035*44%</f>
        <v>0.015400000000000002</v>
      </c>
      <c r="H35" s="256">
        <f>0.016*44%</f>
        <v>0.00704</v>
      </c>
      <c r="I35" s="256">
        <f>0.004*44%</f>
        <v>0.00176</v>
      </c>
      <c r="J35" s="256">
        <f>0.022*44%</f>
        <v>0.00968</v>
      </c>
      <c r="K35" s="256">
        <f>0.019*44%</f>
        <v>0.00836</v>
      </c>
      <c r="L35" s="256">
        <f>0.008*44%</f>
        <v>0.00352</v>
      </c>
      <c r="M35" s="256">
        <f>0.002*44%</f>
        <v>0.00088</v>
      </c>
      <c r="N35" s="256">
        <f>0.045*44%</f>
        <v>0.019799999999999998</v>
      </c>
      <c r="O35" s="256">
        <f>0.04*44%</f>
        <v>0.0176</v>
      </c>
    </row>
    <row r="36" spans="1:15" ht="33" customHeight="1">
      <c r="A36" s="257" t="s">
        <v>463</v>
      </c>
      <c r="B36" s="254" t="s">
        <v>459</v>
      </c>
      <c r="C36" s="256">
        <f>C33</f>
        <v>142.004</v>
      </c>
      <c r="D36" s="256">
        <f aca="true" t="shared" si="13" ref="D36:O36">D33</f>
        <v>142.004</v>
      </c>
      <c r="E36" s="256">
        <f t="shared" si="13"/>
        <v>142.004</v>
      </c>
      <c r="F36" s="256">
        <f t="shared" si="13"/>
        <v>142.004</v>
      </c>
      <c r="G36" s="256">
        <f t="shared" si="13"/>
        <v>142.004</v>
      </c>
      <c r="H36" s="256">
        <f t="shared" si="13"/>
        <v>142.004</v>
      </c>
      <c r="I36" s="256">
        <f t="shared" si="13"/>
        <v>142.004</v>
      </c>
      <c r="J36" s="256">
        <f t="shared" si="13"/>
        <v>142.004</v>
      </c>
      <c r="K36" s="256">
        <f t="shared" si="13"/>
        <v>142.004</v>
      </c>
      <c r="L36" s="256">
        <f t="shared" si="13"/>
        <v>142.004</v>
      </c>
      <c r="M36" s="256">
        <f t="shared" si="13"/>
        <v>142.004</v>
      </c>
      <c r="N36" s="256">
        <f t="shared" si="13"/>
        <v>142.004</v>
      </c>
      <c r="O36" s="256">
        <f t="shared" si="13"/>
        <v>142.004</v>
      </c>
    </row>
    <row r="37" spans="1:15" ht="33.75" customHeight="1">
      <c r="A37" s="271" t="s">
        <v>464</v>
      </c>
      <c r="B37" s="272" t="s">
        <v>53</v>
      </c>
      <c r="C37" s="278">
        <f>C35*C36/100</f>
        <v>0.253051128</v>
      </c>
      <c r="D37" s="278">
        <f aca="true" t="shared" si="14" ref="D37:O37">D35*D36/100</f>
        <v>0.027491974399999997</v>
      </c>
      <c r="E37" s="278">
        <f t="shared" si="14"/>
        <v>0.04686132</v>
      </c>
      <c r="F37" s="278">
        <f t="shared" si="14"/>
        <v>0.059357672</v>
      </c>
      <c r="G37" s="278">
        <f t="shared" si="14"/>
        <v>0.021868616000000004</v>
      </c>
      <c r="H37" s="278">
        <f t="shared" si="14"/>
        <v>0.009997081599999999</v>
      </c>
      <c r="I37" s="278">
        <f t="shared" si="14"/>
        <v>0.0024992703999999998</v>
      </c>
      <c r="J37" s="278">
        <f t="shared" si="14"/>
        <v>0.013745987199999999</v>
      </c>
      <c r="K37" s="278">
        <f t="shared" si="14"/>
        <v>0.0118715344</v>
      </c>
      <c r="L37" s="278">
        <f t="shared" si="14"/>
        <v>0.0049985407999999995</v>
      </c>
      <c r="M37" s="278">
        <f t="shared" si="14"/>
        <v>0.0012496351999999999</v>
      </c>
      <c r="N37" s="278">
        <f t="shared" si="14"/>
        <v>0.028116791999999995</v>
      </c>
      <c r="O37" s="278">
        <f t="shared" si="14"/>
        <v>0.024992703999999998</v>
      </c>
    </row>
    <row r="38" spans="1:16" ht="50.25" customHeight="1">
      <c r="A38" s="264" t="s">
        <v>481</v>
      </c>
      <c r="B38" s="253" t="s">
        <v>53</v>
      </c>
      <c r="C38" s="279">
        <f>C27+C24+C34+C37</f>
        <v>1429.7035269526</v>
      </c>
      <c r="D38" s="279">
        <f aca="true" t="shared" si="15" ref="D38:O38">D27+D24+D34+D37</f>
        <v>306.7423605114</v>
      </c>
      <c r="E38" s="279">
        <f t="shared" si="15"/>
        <v>282.2968844712</v>
      </c>
      <c r="F38" s="279">
        <f t="shared" si="15"/>
        <v>216.6124914822</v>
      </c>
      <c r="G38" s="279">
        <f t="shared" si="15"/>
        <v>45.59957039399999</v>
      </c>
      <c r="H38" s="279">
        <f t="shared" si="15"/>
        <v>0.21243798399999997</v>
      </c>
      <c r="I38" s="279">
        <f t="shared" si="15"/>
        <v>0.04686132</v>
      </c>
      <c r="J38" s="279">
        <f t="shared" si="15"/>
        <v>0.22743360640000002</v>
      </c>
      <c r="K38" s="279">
        <f t="shared" si="15"/>
        <v>0.21306280159999996</v>
      </c>
      <c r="L38" s="279">
        <f t="shared" si="15"/>
        <v>0.24742776959999999</v>
      </c>
      <c r="M38" s="279">
        <f t="shared" si="15"/>
        <v>64.27498900399999</v>
      </c>
      <c r="N38" s="279">
        <f t="shared" si="15"/>
        <v>212.2828531474</v>
      </c>
      <c r="O38" s="279">
        <f t="shared" si="15"/>
        <v>300.9471544608</v>
      </c>
      <c r="P38" s="288">
        <f>SUM(D38:O38)</f>
        <v>1429.7035269525998</v>
      </c>
    </row>
    <row r="39" spans="1:15" ht="12.75">
      <c r="A39" s="379" t="s">
        <v>465</v>
      </c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1"/>
    </row>
    <row r="40" spans="1:15" ht="36" customHeight="1">
      <c r="A40" s="257" t="s">
        <v>466</v>
      </c>
      <c r="B40" s="254" t="s">
        <v>467</v>
      </c>
      <c r="C40" s="265">
        <f>C8</f>
        <v>49356.780999999995</v>
      </c>
      <c r="D40" s="265">
        <f aca="true" t="shared" si="16" ref="D40:O40">D8</f>
        <v>11664.742</v>
      </c>
      <c r="E40" s="265">
        <f t="shared" si="16"/>
        <v>9171.873</v>
      </c>
      <c r="F40" s="265">
        <f t="shared" si="16"/>
        <v>7550.838</v>
      </c>
      <c r="G40" s="265">
        <f t="shared" si="16"/>
        <v>997.819</v>
      </c>
      <c r="H40" s="265">
        <f t="shared" si="16"/>
        <v>0</v>
      </c>
      <c r="I40" s="265">
        <f t="shared" si="16"/>
        <v>0</v>
      </c>
      <c r="J40" s="265">
        <f t="shared" si="16"/>
        <v>0</v>
      </c>
      <c r="K40" s="265">
        <f t="shared" si="16"/>
        <v>0</v>
      </c>
      <c r="L40" s="265">
        <f t="shared" si="16"/>
        <v>0</v>
      </c>
      <c r="M40" s="265">
        <f t="shared" si="16"/>
        <v>2066.193</v>
      </c>
      <c r="N40" s="265">
        <f t="shared" si="16"/>
        <v>8063.187</v>
      </c>
      <c r="O40" s="265">
        <f t="shared" si="16"/>
        <v>9842.129</v>
      </c>
    </row>
    <row r="41" spans="1:15" ht="48.75" customHeight="1">
      <c r="A41" s="257" t="s">
        <v>468</v>
      </c>
      <c r="B41" s="254" t="s">
        <v>469</v>
      </c>
      <c r="C41" s="256">
        <v>24.9</v>
      </c>
      <c r="D41" s="256">
        <v>24.9</v>
      </c>
      <c r="E41" s="256">
        <v>24.9</v>
      </c>
      <c r="F41" s="256">
        <v>24.9</v>
      </c>
      <c r="G41" s="256">
        <v>24.9</v>
      </c>
      <c r="H41" s="256">
        <v>24.9</v>
      </c>
      <c r="I41" s="256">
        <v>24.9</v>
      </c>
      <c r="J41" s="256">
        <v>24.9</v>
      </c>
      <c r="K41" s="256">
        <v>24.9</v>
      </c>
      <c r="L41" s="256">
        <v>24.9</v>
      </c>
      <c r="M41" s="256">
        <v>24.9</v>
      </c>
      <c r="N41" s="256">
        <v>24.9</v>
      </c>
      <c r="O41" s="256">
        <v>24.9</v>
      </c>
    </row>
    <row r="42" spans="1:15" ht="30.75" customHeight="1">
      <c r="A42" s="257" t="s">
        <v>470</v>
      </c>
      <c r="B42" s="254" t="s">
        <v>471</v>
      </c>
      <c r="C42" s="266">
        <f>SUM(D42:O42)</f>
        <v>682.5663999999999</v>
      </c>
      <c r="D42" s="256">
        <f>D45</f>
        <v>135.6036</v>
      </c>
      <c r="E42" s="256">
        <f aca="true" t="shared" si="17" ref="E42:O42">E45</f>
        <v>115.17</v>
      </c>
      <c r="F42" s="256">
        <f t="shared" si="17"/>
        <v>116.0272</v>
      </c>
      <c r="G42" s="256">
        <f t="shared" si="17"/>
        <v>23.801</v>
      </c>
      <c r="H42" s="256">
        <f t="shared" si="17"/>
        <v>0</v>
      </c>
      <c r="I42" s="256">
        <f t="shared" si="17"/>
        <v>0</v>
      </c>
      <c r="J42" s="256">
        <f t="shared" si="17"/>
        <v>0</v>
      </c>
      <c r="K42" s="256">
        <f t="shared" si="17"/>
        <v>0</v>
      </c>
      <c r="L42" s="256">
        <f t="shared" si="17"/>
        <v>0</v>
      </c>
      <c r="M42" s="256">
        <f t="shared" si="17"/>
        <v>33.369</v>
      </c>
      <c r="N42" s="256">
        <f t="shared" si="17"/>
        <v>120.003</v>
      </c>
      <c r="O42" s="256">
        <f t="shared" si="17"/>
        <v>138.5926</v>
      </c>
    </row>
    <row r="43" spans="1:15" ht="30.75" customHeight="1">
      <c r="A43" s="257" t="s">
        <v>498</v>
      </c>
      <c r="B43" s="254" t="s">
        <v>471</v>
      </c>
      <c r="C43" s="266">
        <v>2.104</v>
      </c>
      <c r="D43" s="256">
        <f>D47</f>
        <v>0.417995925964126</v>
      </c>
      <c r="E43" s="256">
        <f aca="true" t="shared" si="18" ref="E43:O43">E47</f>
        <v>0.355009681109413</v>
      </c>
      <c r="F43" s="256">
        <f t="shared" si="18"/>
        <v>0.3576519863855004</v>
      </c>
      <c r="G43" s="256">
        <f t="shared" si="18"/>
        <v>0.0733662014420868</v>
      </c>
      <c r="H43" s="256">
        <f t="shared" si="18"/>
        <v>0</v>
      </c>
      <c r="I43" s="256">
        <f t="shared" si="18"/>
        <v>0</v>
      </c>
      <c r="J43" s="256">
        <f t="shared" si="18"/>
        <v>0</v>
      </c>
      <c r="K43" s="256">
        <f t="shared" si="18"/>
        <v>0</v>
      </c>
      <c r="L43" s="256">
        <f t="shared" si="18"/>
        <v>0</v>
      </c>
      <c r="M43" s="256">
        <f t="shared" si="18"/>
        <v>0.10285940825683774</v>
      </c>
      <c r="N43" s="256">
        <f t="shared" si="18"/>
        <v>0.36990732623229045</v>
      </c>
      <c r="O43" s="256">
        <f t="shared" si="18"/>
        <v>0.4272094706097459</v>
      </c>
    </row>
    <row r="44" spans="1:15" ht="30.75" customHeight="1">
      <c r="A44" s="257" t="s">
        <v>499</v>
      </c>
      <c r="B44" s="254" t="s">
        <v>471</v>
      </c>
      <c r="C44" s="266">
        <f>C42-C43</f>
        <v>680.4623999999999</v>
      </c>
      <c r="D44" s="256">
        <f>D48</f>
        <v>135.18560407403587</v>
      </c>
      <c r="E44" s="256">
        <f aca="true" t="shared" si="19" ref="E44:O44">E48</f>
        <v>114.8149903188906</v>
      </c>
      <c r="F44" s="256">
        <f t="shared" si="19"/>
        <v>115.66954801361449</v>
      </c>
      <c r="G44" s="256">
        <f t="shared" si="19"/>
        <v>23.72763379855791</v>
      </c>
      <c r="H44" s="256">
        <f t="shared" si="19"/>
        <v>0</v>
      </c>
      <c r="I44" s="256">
        <f t="shared" si="19"/>
        <v>0</v>
      </c>
      <c r="J44" s="256">
        <f t="shared" si="19"/>
        <v>0</v>
      </c>
      <c r="K44" s="256">
        <f t="shared" si="19"/>
        <v>0</v>
      </c>
      <c r="L44" s="256">
        <f t="shared" si="19"/>
        <v>0</v>
      </c>
      <c r="M44" s="256">
        <f t="shared" si="19"/>
        <v>33.26614059174316</v>
      </c>
      <c r="N44" s="256">
        <f t="shared" si="19"/>
        <v>119.6330926737677</v>
      </c>
      <c r="O44" s="256">
        <f t="shared" si="19"/>
        <v>138.16539052939027</v>
      </c>
    </row>
    <row r="45" spans="1:15" ht="32.25" customHeight="1">
      <c r="A45" s="281" t="s">
        <v>482</v>
      </c>
      <c r="B45" s="282" t="s">
        <v>471</v>
      </c>
      <c r="C45" s="273">
        <f>C42</f>
        <v>682.5663999999999</v>
      </c>
      <c r="D45" s="285">
        <f aca="true" t="shared" si="20" ref="D45:O45">D54</f>
        <v>135.6036</v>
      </c>
      <c r="E45" s="285">
        <f t="shared" si="20"/>
        <v>115.17</v>
      </c>
      <c r="F45" s="285">
        <f t="shared" si="20"/>
        <v>116.0272</v>
      </c>
      <c r="G45" s="285">
        <f t="shared" si="20"/>
        <v>23.801</v>
      </c>
      <c r="H45" s="285">
        <f t="shared" si="20"/>
        <v>0</v>
      </c>
      <c r="I45" s="285">
        <f t="shared" si="20"/>
        <v>0</v>
      </c>
      <c r="J45" s="285">
        <f t="shared" si="20"/>
        <v>0</v>
      </c>
      <c r="K45" s="285">
        <f t="shared" si="20"/>
        <v>0</v>
      </c>
      <c r="L45" s="285">
        <f t="shared" si="20"/>
        <v>0</v>
      </c>
      <c r="M45" s="285">
        <f t="shared" si="20"/>
        <v>33.369</v>
      </c>
      <c r="N45" s="285">
        <f t="shared" si="20"/>
        <v>120.003</v>
      </c>
      <c r="O45" s="285">
        <f t="shared" si="20"/>
        <v>138.5926</v>
      </c>
    </row>
    <row r="46" spans="1:16" ht="3" customHeight="1">
      <c r="A46" s="281"/>
      <c r="B46" s="282"/>
      <c r="C46" s="273"/>
      <c r="D46" s="285">
        <f aca="true" t="shared" si="21" ref="D46:O46">D45/$C$45*100</f>
        <v>19.86672651920751</v>
      </c>
      <c r="E46" s="285">
        <f t="shared" si="21"/>
        <v>16.87308370291887</v>
      </c>
      <c r="F46" s="285">
        <f t="shared" si="21"/>
        <v>16.998668554443935</v>
      </c>
      <c r="G46" s="285">
        <f t="shared" si="21"/>
        <v>3.4869867605554563</v>
      </c>
      <c r="H46" s="285">
        <f t="shared" si="21"/>
        <v>0</v>
      </c>
      <c r="I46" s="285">
        <f t="shared" si="21"/>
        <v>0</v>
      </c>
      <c r="J46" s="285">
        <f t="shared" si="21"/>
        <v>0</v>
      </c>
      <c r="K46" s="285">
        <f t="shared" si="21"/>
        <v>0</v>
      </c>
      <c r="L46" s="285">
        <f t="shared" si="21"/>
        <v>0</v>
      </c>
      <c r="M46" s="285">
        <f t="shared" si="21"/>
        <v>4.888755145286964</v>
      </c>
      <c r="N46" s="285">
        <f t="shared" si="21"/>
        <v>17.58114668404422</v>
      </c>
      <c r="O46" s="285">
        <f t="shared" si="21"/>
        <v>20.304632633543054</v>
      </c>
      <c r="P46" s="283">
        <f>SUM(D46:O46)</f>
        <v>100.00000000000001</v>
      </c>
    </row>
    <row r="47" spans="1:16" ht="40.5" customHeight="1">
      <c r="A47" s="281" t="s">
        <v>500</v>
      </c>
      <c r="B47" s="282" t="s">
        <v>471</v>
      </c>
      <c r="C47" s="273">
        <f>C43</f>
        <v>2.104</v>
      </c>
      <c r="D47" s="285">
        <f>$C$47*D46/100</f>
        <v>0.417995925964126</v>
      </c>
      <c r="E47" s="285">
        <f aca="true" t="shared" si="22" ref="E47:O47">$C$47*E46/100</f>
        <v>0.355009681109413</v>
      </c>
      <c r="F47" s="285">
        <f t="shared" si="22"/>
        <v>0.3576519863855004</v>
      </c>
      <c r="G47" s="285">
        <f t="shared" si="22"/>
        <v>0.0733662014420868</v>
      </c>
      <c r="H47" s="285">
        <f t="shared" si="22"/>
        <v>0</v>
      </c>
      <c r="I47" s="285">
        <f t="shared" si="22"/>
        <v>0</v>
      </c>
      <c r="J47" s="285">
        <f t="shared" si="22"/>
        <v>0</v>
      </c>
      <c r="K47" s="285">
        <f t="shared" si="22"/>
        <v>0</v>
      </c>
      <c r="L47" s="285">
        <f t="shared" si="22"/>
        <v>0</v>
      </c>
      <c r="M47" s="285">
        <f t="shared" si="22"/>
        <v>0.10285940825683774</v>
      </c>
      <c r="N47" s="285">
        <f t="shared" si="22"/>
        <v>0.36990732623229045</v>
      </c>
      <c r="O47" s="285">
        <f t="shared" si="22"/>
        <v>0.4272094706097459</v>
      </c>
      <c r="P47" s="284"/>
    </row>
    <row r="48" spans="1:15" ht="42.75" customHeight="1">
      <c r="A48" s="281" t="s">
        <v>501</v>
      </c>
      <c r="B48" s="282" t="s">
        <v>471</v>
      </c>
      <c r="C48" s="273">
        <f>C44</f>
        <v>680.4623999999999</v>
      </c>
      <c r="D48" s="285">
        <f>D45-D47</f>
        <v>135.18560407403587</v>
      </c>
      <c r="E48" s="285">
        <f aca="true" t="shared" si="23" ref="E48:O48">E45-E47</f>
        <v>114.8149903188906</v>
      </c>
      <c r="F48" s="285">
        <f t="shared" si="23"/>
        <v>115.66954801361449</v>
      </c>
      <c r="G48" s="285">
        <f t="shared" si="23"/>
        <v>23.72763379855791</v>
      </c>
      <c r="H48" s="285">
        <f t="shared" si="23"/>
        <v>0</v>
      </c>
      <c r="I48" s="285">
        <f t="shared" si="23"/>
        <v>0</v>
      </c>
      <c r="J48" s="285">
        <f t="shared" si="23"/>
        <v>0</v>
      </c>
      <c r="K48" s="285">
        <f t="shared" si="23"/>
        <v>0</v>
      </c>
      <c r="L48" s="285">
        <f t="shared" si="23"/>
        <v>0</v>
      </c>
      <c r="M48" s="285">
        <f t="shared" si="23"/>
        <v>33.26614059174316</v>
      </c>
      <c r="N48" s="285">
        <f t="shared" si="23"/>
        <v>119.6330926737677</v>
      </c>
      <c r="O48" s="285">
        <f t="shared" si="23"/>
        <v>138.16539052939027</v>
      </c>
    </row>
    <row r="49" spans="1:15" ht="27.75" customHeight="1">
      <c r="A49" s="281" t="s">
        <v>479</v>
      </c>
      <c r="B49" s="282" t="s">
        <v>472</v>
      </c>
      <c r="C49" s="285">
        <f>C20</f>
        <v>82.039</v>
      </c>
      <c r="D49" s="285">
        <f aca="true" t="shared" si="24" ref="D49:O49">D20</f>
        <v>82.039</v>
      </c>
      <c r="E49" s="285">
        <f t="shared" si="24"/>
        <v>82.039</v>
      </c>
      <c r="F49" s="285">
        <f t="shared" si="24"/>
        <v>82.039</v>
      </c>
      <c r="G49" s="285">
        <f t="shared" si="24"/>
        <v>82.039</v>
      </c>
      <c r="H49" s="285">
        <f t="shared" si="24"/>
        <v>82.039</v>
      </c>
      <c r="I49" s="285">
        <f t="shared" si="24"/>
        <v>82.039</v>
      </c>
      <c r="J49" s="285">
        <f t="shared" si="24"/>
        <v>82.039</v>
      </c>
      <c r="K49" s="285">
        <f t="shared" si="24"/>
        <v>82.039</v>
      </c>
      <c r="L49" s="285">
        <f t="shared" si="24"/>
        <v>82.039</v>
      </c>
      <c r="M49" s="285">
        <f t="shared" si="24"/>
        <v>82.039</v>
      </c>
      <c r="N49" s="285">
        <f t="shared" si="24"/>
        <v>82.039</v>
      </c>
      <c r="O49" s="285">
        <f t="shared" si="24"/>
        <v>82.039</v>
      </c>
    </row>
    <row r="50" spans="1:15" ht="27.75" customHeight="1">
      <c r="A50" s="281" t="s">
        <v>502</v>
      </c>
      <c r="B50" s="282" t="s">
        <v>472</v>
      </c>
      <c r="C50" s="285">
        <v>90.744</v>
      </c>
      <c r="D50" s="285">
        <v>90.744</v>
      </c>
      <c r="E50" s="285">
        <v>90.744</v>
      </c>
      <c r="F50" s="285">
        <v>90.744</v>
      </c>
      <c r="G50" s="285">
        <v>90.744</v>
      </c>
      <c r="H50" s="285">
        <v>90.744</v>
      </c>
      <c r="I50" s="285">
        <v>90.744</v>
      </c>
      <c r="J50" s="285">
        <v>90.744</v>
      </c>
      <c r="K50" s="285">
        <v>90.744</v>
      </c>
      <c r="L50" s="285">
        <v>90.744</v>
      </c>
      <c r="M50" s="285">
        <v>90.744</v>
      </c>
      <c r="N50" s="285">
        <v>90.744</v>
      </c>
      <c r="O50" s="285">
        <v>90.744</v>
      </c>
    </row>
    <row r="51" spans="1:15" ht="27" customHeight="1">
      <c r="A51" s="271" t="s">
        <v>480</v>
      </c>
      <c r="B51" s="272" t="s">
        <v>473</v>
      </c>
      <c r="C51" s="258">
        <f>C52+C53</f>
        <v>560.1538020959999</v>
      </c>
      <c r="D51" s="258">
        <f aca="true" t="shared" si="25" ref="D51:O51">D52+D53</f>
        <v>111.28422394935517</v>
      </c>
      <c r="E51" s="258">
        <f t="shared" si="25"/>
        <v>94.51521989274059</v>
      </c>
      <c r="F51" s="258">
        <f t="shared" si="25"/>
        <v>95.21868821341486</v>
      </c>
      <c r="G51" s="258">
        <f t="shared" si="25"/>
        <v>19.532488917835533</v>
      </c>
      <c r="H51" s="258">
        <f t="shared" si="25"/>
        <v>0</v>
      </c>
      <c r="I51" s="258">
        <f t="shared" si="25"/>
        <v>0</v>
      </c>
      <c r="J51" s="258">
        <f t="shared" si="25"/>
        <v>0</v>
      </c>
      <c r="K51" s="258">
        <f t="shared" si="25"/>
        <v>0</v>
      </c>
      <c r="L51" s="258">
        <f t="shared" si="25"/>
        <v>0</v>
      </c>
      <c r="M51" s="258">
        <f t="shared" si="25"/>
        <v>27.384547821488756</v>
      </c>
      <c r="N51" s="258">
        <f t="shared" si="25"/>
        <v>98.48146160274852</v>
      </c>
      <c r="O51" s="258">
        <f t="shared" si="25"/>
        <v>113.73717169841659</v>
      </c>
    </row>
    <row r="52" spans="1:16" ht="27" customHeight="1">
      <c r="A52" s="281" t="s">
        <v>503</v>
      </c>
      <c r="B52" s="282" t="s">
        <v>473</v>
      </c>
      <c r="C52" s="273">
        <f>C47*C50/100</f>
        <v>1.90925376</v>
      </c>
      <c r="D52" s="273">
        <f>D47*D50/100</f>
        <v>0.3793062230568865</v>
      </c>
      <c r="E52" s="273">
        <f aca="true" t="shared" si="26" ref="E52:O52">E47*E50/100</f>
        <v>0.32214998502592573</v>
      </c>
      <c r="F52" s="273">
        <f t="shared" si="26"/>
        <v>0.3245477185256585</v>
      </c>
      <c r="G52" s="273">
        <f t="shared" si="26"/>
        <v>0.06657542583660725</v>
      </c>
      <c r="H52" s="273">
        <f t="shared" si="26"/>
        <v>0</v>
      </c>
      <c r="I52" s="273">
        <f t="shared" si="26"/>
        <v>0</v>
      </c>
      <c r="J52" s="273">
        <f t="shared" si="26"/>
        <v>0</v>
      </c>
      <c r="K52" s="273">
        <f t="shared" si="26"/>
        <v>0</v>
      </c>
      <c r="L52" s="273">
        <f t="shared" si="26"/>
        <v>0</v>
      </c>
      <c r="M52" s="273">
        <f t="shared" si="26"/>
        <v>0.09333874142858484</v>
      </c>
      <c r="N52" s="273">
        <f t="shared" si="26"/>
        <v>0.3356687041162296</v>
      </c>
      <c r="O52" s="273">
        <f t="shared" si="26"/>
        <v>0.3876669620101078</v>
      </c>
      <c r="P52" s="44"/>
    </row>
    <row r="53" spans="1:16" ht="27" customHeight="1">
      <c r="A53" s="281" t="s">
        <v>504</v>
      </c>
      <c r="B53" s="282" t="s">
        <v>473</v>
      </c>
      <c r="C53" s="273">
        <f>C48*C49/100</f>
        <v>558.244548336</v>
      </c>
      <c r="D53" s="273">
        <f>D48*D49/100</f>
        <v>110.90491772629828</v>
      </c>
      <c r="E53" s="273">
        <f aca="true" t="shared" si="27" ref="E53:O53">E48*E49/100</f>
        <v>94.19306990771466</v>
      </c>
      <c r="F53" s="273">
        <f t="shared" si="27"/>
        <v>94.8941404948892</v>
      </c>
      <c r="G53" s="273">
        <f t="shared" si="27"/>
        <v>19.465913491998926</v>
      </c>
      <c r="H53" s="273">
        <f t="shared" si="27"/>
        <v>0</v>
      </c>
      <c r="I53" s="273">
        <f t="shared" si="27"/>
        <v>0</v>
      </c>
      <c r="J53" s="273">
        <f t="shared" si="27"/>
        <v>0</v>
      </c>
      <c r="K53" s="273">
        <f t="shared" si="27"/>
        <v>0</v>
      </c>
      <c r="L53" s="273">
        <f t="shared" si="27"/>
        <v>0</v>
      </c>
      <c r="M53" s="273">
        <f t="shared" si="27"/>
        <v>27.29120908006017</v>
      </c>
      <c r="N53" s="273">
        <f t="shared" si="27"/>
        <v>98.1457928986323</v>
      </c>
      <c r="O53" s="273">
        <f t="shared" si="27"/>
        <v>113.34950473640649</v>
      </c>
      <c r="P53" s="44"/>
    </row>
    <row r="54" spans="1:15" ht="30" customHeight="1">
      <c r="A54" s="257" t="s">
        <v>450</v>
      </c>
      <c r="B54" s="254" t="s">
        <v>193</v>
      </c>
      <c r="C54" s="266">
        <f>SUM(D54:O54)</f>
        <v>682.5663999999999</v>
      </c>
      <c r="D54" s="256">
        <v>135.6036</v>
      </c>
      <c r="E54" s="256">
        <v>115.17</v>
      </c>
      <c r="F54" s="256">
        <v>116.0272</v>
      </c>
      <c r="G54" s="256">
        <v>23.801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33.369</v>
      </c>
      <c r="N54" s="256">
        <v>120.003</v>
      </c>
      <c r="O54" s="256">
        <v>138.5926</v>
      </c>
    </row>
    <row r="55" spans="1:15" ht="30" customHeight="1">
      <c r="A55" s="257" t="s">
        <v>508</v>
      </c>
      <c r="B55" s="254" t="s">
        <v>449</v>
      </c>
      <c r="C55" s="266">
        <f>'електроенергія КОПИЛЕНКА'!C16</f>
        <v>308.4635</v>
      </c>
      <c r="D55" s="266">
        <f>'електроенергія КОПИЛЕНКА'!D16</f>
        <v>308.4635</v>
      </c>
      <c r="E55" s="266">
        <f>'електроенергія КОПИЛЕНКА'!E16</f>
        <v>308.4635</v>
      </c>
      <c r="F55" s="266">
        <f>'електроенергія КОПИЛЕНКА'!F16</f>
        <v>308.4635</v>
      </c>
      <c r="G55" s="266">
        <f>'електроенергія КОПИЛЕНКА'!G16</f>
        <v>308.4635</v>
      </c>
      <c r="H55" s="266">
        <f>'електроенергія КОПИЛЕНКА'!H16</f>
        <v>308.4635</v>
      </c>
      <c r="I55" s="266">
        <f>'електроенергія КОПИЛЕНКА'!I16</f>
        <v>308.4635</v>
      </c>
      <c r="J55" s="266">
        <f>'електроенергія КОПИЛЕНКА'!J16</f>
        <v>308.4635</v>
      </c>
      <c r="K55" s="266">
        <f>'електроенергія КОПИЛЕНКА'!K16</f>
        <v>308.4635</v>
      </c>
      <c r="L55" s="266">
        <f>'електроенергія КОПИЛЕНКА'!L16</f>
        <v>308.4635</v>
      </c>
      <c r="M55" s="266">
        <f>'електроенергія КОПИЛЕНКА'!M16</f>
        <v>308.4635</v>
      </c>
      <c r="N55" s="266">
        <f>'електроенергія КОПИЛЕНКА'!N16</f>
        <v>308.4635</v>
      </c>
      <c r="O55" s="266">
        <f>'електроенергія КОПИЛЕНКА'!O16</f>
        <v>308.4635</v>
      </c>
    </row>
    <row r="56" spans="1:15" ht="24" customHeight="1">
      <c r="A56" s="257" t="s">
        <v>509</v>
      </c>
      <c r="B56" s="254" t="s">
        <v>449</v>
      </c>
      <c r="C56" s="256">
        <f>C26</f>
        <v>175.6888</v>
      </c>
      <c r="D56" s="256">
        <f aca="true" t="shared" si="28" ref="D56:O56">D26</f>
        <v>175.6888</v>
      </c>
      <c r="E56" s="256">
        <f t="shared" si="28"/>
        <v>175.6888</v>
      </c>
      <c r="F56" s="256">
        <f t="shared" si="28"/>
        <v>175.6888</v>
      </c>
      <c r="G56" s="256">
        <f t="shared" si="28"/>
        <v>175.6888</v>
      </c>
      <c r="H56" s="256">
        <f t="shared" si="28"/>
        <v>175.6888</v>
      </c>
      <c r="I56" s="256">
        <f t="shared" si="28"/>
        <v>175.6888</v>
      </c>
      <c r="J56" s="256">
        <f t="shared" si="28"/>
        <v>175.6888</v>
      </c>
      <c r="K56" s="256">
        <f t="shared" si="28"/>
        <v>175.6888</v>
      </c>
      <c r="L56" s="256">
        <f t="shared" si="28"/>
        <v>175.6888</v>
      </c>
      <c r="M56" s="256">
        <f t="shared" si="28"/>
        <v>175.6888</v>
      </c>
      <c r="N56" s="256">
        <f t="shared" si="28"/>
        <v>175.6888</v>
      </c>
      <c r="O56" s="256">
        <f t="shared" si="28"/>
        <v>175.6888</v>
      </c>
    </row>
    <row r="57" spans="1:15" ht="29.25" customHeight="1">
      <c r="A57" s="271" t="s">
        <v>505</v>
      </c>
      <c r="B57" s="272" t="s">
        <v>53</v>
      </c>
      <c r="C57" s="278">
        <f>C58+C59</f>
        <v>1201.9862970511997</v>
      </c>
      <c r="D57" s="278">
        <f aca="true" t="shared" si="29" ref="D57:O57">D58+D59</f>
        <v>238.79533043351105</v>
      </c>
      <c r="E57" s="278">
        <f t="shared" si="29"/>
        <v>202.81215399906395</v>
      </c>
      <c r="F57" s="278">
        <f t="shared" si="29"/>
        <v>204.32166670556737</v>
      </c>
      <c r="G57" s="278">
        <f t="shared" si="29"/>
        <v>41.913103041866115</v>
      </c>
      <c r="H57" s="278">
        <f t="shared" si="29"/>
        <v>0</v>
      </c>
      <c r="I57" s="278">
        <f t="shared" si="29"/>
        <v>0</v>
      </c>
      <c r="J57" s="278">
        <f t="shared" si="29"/>
        <v>0</v>
      </c>
      <c r="K57" s="278">
        <f t="shared" si="29"/>
        <v>0</v>
      </c>
      <c r="L57" s="278">
        <f t="shared" si="29"/>
        <v>0</v>
      </c>
      <c r="M57" s="278">
        <f t="shared" si="29"/>
        <v>58.76216694273479</v>
      </c>
      <c r="N57" s="278">
        <f t="shared" si="29"/>
        <v>211.3229740066829</v>
      </c>
      <c r="O57" s="278">
        <f t="shared" si="29"/>
        <v>244.0589019217737</v>
      </c>
    </row>
    <row r="58" spans="1:15" ht="31.5" customHeight="1">
      <c r="A58" s="281" t="s">
        <v>506</v>
      </c>
      <c r="B58" s="282" t="s">
        <v>53</v>
      </c>
      <c r="C58" s="256">
        <f>C43*C55/100</f>
        <v>6.49007204</v>
      </c>
      <c r="D58" s="256">
        <f aca="true" t="shared" si="30" ref="D58:O58">D43*D55/100</f>
        <v>1.289364863086352</v>
      </c>
      <c r="E58" s="256">
        <f t="shared" si="30"/>
        <v>1.0950752876889343</v>
      </c>
      <c r="F58" s="256">
        <f t="shared" si="30"/>
        <v>1.1032258350242379</v>
      </c>
      <c r="G58" s="256">
        <f t="shared" si="30"/>
        <v>0.22630795278531143</v>
      </c>
      <c r="H58" s="256">
        <f t="shared" si="30"/>
        <v>0</v>
      </c>
      <c r="I58" s="256">
        <f t="shared" si="30"/>
        <v>0</v>
      </c>
      <c r="J58" s="256">
        <f t="shared" si="30"/>
        <v>0</v>
      </c>
      <c r="K58" s="256">
        <f t="shared" si="30"/>
        <v>0</v>
      </c>
      <c r="L58" s="256">
        <f t="shared" si="30"/>
        <v>0</v>
      </c>
      <c r="M58" s="256">
        <f t="shared" si="30"/>
        <v>0.3172837307883307</v>
      </c>
      <c r="N58" s="256">
        <f t="shared" si="30"/>
        <v>1.1410290852525413</v>
      </c>
      <c r="O58" s="256">
        <f t="shared" si="30"/>
        <v>1.3177852853742937</v>
      </c>
    </row>
    <row r="59" spans="1:15" ht="27.75" customHeight="1">
      <c r="A59" s="281" t="s">
        <v>507</v>
      </c>
      <c r="B59" s="282" t="s">
        <v>53</v>
      </c>
      <c r="C59" s="256">
        <f>C48*C56/100</f>
        <v>1195.4962250111996</v>
      </c>
      <c r="D59" s="256">
        <f aca="true" t="shared" si="31" ref="D59:O59">D48*D56/100</f>
        <v>237.5059655704247</v>
      </c>
      <c r="E59" s="256">
        <f t="shared" si="31"/>
        <v>201.71707871137502</v>
      </c>
      <c r="F59" s="256">
        <f t="shared" si="31"/>
        <v>203.21844087054313</v>
      </c>
      <c r="G59" s="256">
        <f t="shared" si="31"/>
        <v>41.6867950890808</v>
      </c>
      <c r="H59" s="256">
        <f t="shared" si="31"/>
        <v>0</v>
      </c>
      <c r="I59" s="256">
        <f t="shared" si="31"/>
        <v>0</v>
      </c>
      <c r="J59" s="256">
        <f t="shared" si="31"/>
        <v>0</v>
      </c>
      <c r="K59" s="256">
        <f t="shared" si="31"/>
        <v>0</v>
      </c>
      <c r="L59" s="256">
        <f t="shared" si="31"/>
        <v>0</v>
      </c>
      <c r="M59" s="256">
        <f t="shared" si="31"/>
        <v>58.444883211946454</v>
      </c>
      <c r="N59" s="256">
        <f t="shared" si="31"/>
        <v>210.18194492143036</v>
      </c>
      <c r="O59" s="256">
        <f t="shared" si="31"/>
        <v>242.7411166363994</v>
      </c>
    </row>
    <row r="60" spans="1:15" ht="30.75" customHeight="1">
      <c r="A60" s="257" t="s">
        <v>456</v>
      </c>
      <c r="B60" s="254" t="s">
        <v>462</v>
      </c>
      <c r="C60" s="267">
        <f>SUM(D60:O60)</f>
        <v>58.69696000000002</v>
      </c>
      <c r="D60" s="256">
        <f>22.666*56%</f>
        <v>12.692960000000001</v>
      </c>
      <c r="E60" s="256">
        <f>17.881*56%</f>
        <v>10.01336</v>
      </c>
      <c r="F60" s="256">
        <f>16.946*56%</f>
        <v>9.489760000000002</v>
      </c>
      <c r="G60" s="256">
        <f>3.945*56%</f>
        <v>2.2092</v>
      </c>
      <c r="H60" s="256">
        <f>0.324*56%</f>
        <v>0.18144000000000002</v>
      </c>
      <c r="I60" s="256">
        <f>0.071*56%</f>
        <v>0.039760000000000004</v>
      </c>
      <c r="J60" s="256">
        <f>0.342*56%</f>
        <v>0.19152000000000002</v>
      </c>
      <c r="K60" s="256">
        <f>0.322*56%</f>
        <v>0.18032</v>
      </c>
      <c r="L60" s="256">
        <f>0.388*56%</f>
        <v>0.21728000000000003</v>
      </c>
      <c r="M60" s="256">
        <f>0.823*56%</f>
        <v>0.46088</v>
      </c>
      <c r="N60" s="256">
        <f>18.884*56%</f>
        <v>10.575040000000001</v>
      </c>
      <c r="O60" s="256">
        <f>22.224*56%</f>
        <v>12.445440000000001</v>
      </c>
    </row>
    <row r="61" spans="1:15" ht="38.25" customHeight="1">
      <c r="A61" s="257" t="s">
        <v>458</v>
      </c>
      <c r="B61" s="254" t="s">
        <v>459</v>
      </c>
      <c r="C61" s="267">
        <f>C33</f>
        <v>142.004</v>
      </c>
      <c r="D61" s="267">
        <f aca="true" t="shared" si="32" ref="D61:O61">D33</f>
        <v>142.004</v>
      </c>
      <c r="E61" s="267">
        <f t="shared" si="32"/>
        <v>142.004</v>
      </c>
      <c r="F61" s="267">
        <f t="shared" si="32"/>
        <v>142.004</v>
      </c>
      <c r="G61" s="267">
        <f t="shared" si="32"/>
        <v>142.004</v>
      </c>
      <c r="H61" s="267">
        <f t="shared" si="32"/>
        <v>142.004</v>
      </c>
      <c r="I61" s="267">
        <f t="shared" si="32"/>
        <v>142.004</v>
      </c>
      <c r="J61" s="267">
        <f t="shared" si="32"/>
        <v>142.004</v>
      </c>
      <c r="K61" s="267">
        <f t="shared" si="32"/>
        <v>142.004</v>
      </c>
      <c r="L61" s="267">
        <f t="shared" si="32"/>
        <v>142.004</v>
      </c>
      <c r="M61" s="267">
        <f t="shared" si="32"/>
        <v>142.004</v>
      </c>
      <c r="N61" s="267">
        <f t="shared" si="32"/>
        <v>142.004</v>
      </c>
      <c r="O61" s="267">
        <f t="shared" si="32"/>
        <v>142.004</v>
      </c>
    </row>
    <row r="62" spans="1:15" ht="32.25" customHeight="1">
      <c r="A62" s="271" t="s">
        <v>460</v>
      </c>
      <c r="B62" s="272" t="s">
        <v>53</v>
      </c>
      <c r="C62" s="258">
        <f>SUM(D62:O62)</f>
        <v>83.3520310784</v>
      </c>
      <c r="D62" s="278">
        <f>D60*D61/100</f>
        <v>18.0245109184</v>
      </c>
      <c r="E62" s="278">
        <f aca="true" t="shared" si="33" ref="E62:O62">E60*E61/100</f>
        <v>14.2193717344</v>
      </c>
      <c r="F62" s="278">
        <f t="shared" si="33"/>
        <v>13.475838790400003</v>
      </c>
      <c r="G62" s="278">
        <f t="shared" si="33"/>
        <v>3.137152368</v>
      </c>
      <c r="H62" s="278">
        <f t="shared" si="33"/>
        <v>0.2576520576</v>
      </c>
      <c r="I62" s="278">
        <f t="shared" si="33"/>
        <v>0.0564607904</v>
      </c>
      <c r="J62" s="278">
        <f t="shared" si="33"/>
        <v>0.2719660608</v>
      </c>
      <c r="K62" s="278">
        <f t="shared" si="33"/>
        <v>0.2560616128</v>
      </c>
      <c r="L62" s="278">
        <f t="shared" si="33"/>
        <v>0.30854629120000004</v>
      </c>
      <c r="M62" s="278">
        <f t="shared" si="33"/>
        <v>0.6544680352000001</v>
      </c>
      <c r="N62" s="278">
        <f t="shared" si="33"/>
        <v>15.0169798016</v>
      </c>
      <c r="O62" s="278">
        <f t="shared" si="33"/>
        <v>17.6730226176</v>
      </c>
    </row>
    <row r="63" spans="1:15" ht="33" customHeight="1">
      <c r="A63" s="257" t="s">
        <v>461</v>
      </c>
      <c r="B63" s="254" t="s">
        <v>462</v>
      </c>
      <c r="C63" s="267">
        <f>O63+N63+M63+L63+K63+J63+I63+H63+G63+F63+D63+E63</f>
        <v>0.22680000000000003</v>
      </c>
      <c r="D63" s="256">
        <f>0.044*56%</f>
        <v>0.024640000000000002</v>
      </c>
      <c r="E63" s="256">
        <f>0.075*56%</f>
        <v>0.042</v>
      </c>
      <c r="F63" s="256">
        <f>0.095*56%</f>
        <v>0.053200000000000004</v>
      </c>
      <c r="G63" s="256">
        <f>0.035*56%</f>
        <v>0.019600000000000003</v>
      </c>
      <c r="H63" s="256">
        <f>0.016*56%</f>
        <v>0.008960000000000001</v>
      </c>
      <c r="I63" s="256">
        <f>0.004*56%</f>
        <v>0.0022400000000000002</v>
      </c>
      <c r="J63" s="256">
        <f>0.022*56%</f>
        <v>0.012320000000000001</v>
      </c>
      <c r="K63" s="256">
        <f>0.019*56%</f>
        <v>0.01064</v>
      </c>
      <c r="L63" s="256">
        <f>0.008*56%</f>
        <v>0.0044800000000000005</v>
      </c>
      <c r="M63" s="256">
        <f>0.002*56%</f>
        <v>0.0011200000000000001</v>
      </c>
      <c r="N63" s="256">
        <f>0.045*56%</f>
        <v>0.0252</v>
      </c>
      <c r="O63" s="256">
        <f>0.04*56%</f>
        <v>0.022400000000000003</v>
      </c>
    </row>
    <row r="64" spans="1:15" ht="28.5" customHeight="1">
      <c r="A64" s="257" t="s">
        <v>463</v>
      </c>
      <c r="B64" s="254" t="s">
        <v>459</v>
      </c>
      <c r="C64" s="267">
        <f>C61</f>
        <v>142.004</v>
      </c>
      <c r="D64" s="267">
        <f aca="true" t="shared" si="34" ref="D64:O64">D61</f>
        <v>142.004</v>
      </c>
      <c r="E64" s="267">
        <f t="shared" si="34"/>
        <v>142.004</v>
      </c>
      <c r="F64" s="267">
        <f t="shared" si="34"/>
        <v>142.004</v>
      </c>
      <c r="G64" s="267">
        <f t="shared" si="34"/>
        <v>142.004</v>
      </c>
      <c r="H64" s="267">
        <f t="shared" si="34"/>
        <v>142.004</v>
      </c>
      <c r="I64" s="267">
        <f t="shared" si="34"/>
        <v>142.004</v>
      </c>
      <c r="J64" s="267">
        <f t="shared" si="34"/>
        <v>142.004</v>
      </c>
      <c r="K64" s="267">
        <f t="shared" si="34"/>
        <v>142.004</v>
      </c>
      <c r="L64" s="267">
        <f t="shared" si="34"/>
        <v>142.004</v>
      </c>
      <c r="M64" s="267">
        <f t="shared" si="34"/>
        <v>142.004</v>
      </c>
      <c r="N64" s="267">
        <f t="shared" si="34"/>
        <v>142.004</v>
      </c>
      <c r="O64" s="267">
        <f t="shared" si="34"/>
        <v>142.004</v>
      </c>
    </row>
    <row r="65" spans="1:15" ht="29.25" customHeight="1">
      <c r="A65" s="271" t="s">
        <v>464</v>
      </c>
      <c r="B65" s="272" t="s">
        <v>53</v>
      </c>
      <c r="C65" s="258">
        <f>SUM(D65:O65)</f>
        <v>0.322065072</v>
      </c>
      <c r="D65" s="278">
        <f>D63*D64/100</f>
        <v>0.034989785600000003</v>
      </c>
      <c r="E65" s="278">
        <f aca="true" t="shared" si="35" ref="E65:O65">E63*E64/100</f>
        <v>0.05964168</v>
      </c>
      <c r="F65" s="278">
        <f t="shared" si="35"/>
        <v>0.075546128</v>
      </c>
      <c r="G65" s="278">
        <f t="shared" si="35"/>
        <v>0.027832784000000003</v>
      </c>
      <c r="H65" s="278">
        <f t="shared" si="35"/>
        <v>0.012723558400000001</v>
      </c>
      <c r="I65" s="278">
        <f t="shared" si="35"/>
        <v>0.0031808896000000003</v>
      </c>
      <c r="J65" s="278">
        <f t="shared" si="35"/>
        <v>0.017494892800000002</v>
      </c>
      <c r="K65" s="278">
        <f t="shared" si="35"/>
        <v>0.0151092256</v>
      </c>
      <c r="L65" s="278">
        <f t="shared" si="35"/>
        <v>0.006361779200000001</v>
      </c>
      <c r="M65" s="278">
        <f t="shared" si="35"/>
        <v>0.0015904448000000002</v>
      </c>
      <c r="N65" s="278">
        <f t="shared" si="35"/>
        <v>0.03578500799999999</v>
      </c>
      <c r="O65" s="278">
        <f t="shared" si="35"/>
        <v>0.031808896</v>
      </c>
    </row>
    <row r="66" spans="1:16" ht="54" customHeight="1">
      <c r="A66" s="264" t="s">
        <v>484</v>
      </c>
      <c r="B66" s="253" t="s">
        <v>473</v>
      </c>
      <c r="C66" s="279">
        <f aca="true" t="shared" si="36" ref="C66:O66">C51+C57+C62+C65</f>
        <v>1845.8141952975996</v>
      </c>
      <c r="D66" s="279">
        <f t="shared" si="36"/>
        <v>368.13905508686616</v>
      </c>
      <c r="E66" s="279">
        <f t="shared" si="36"/>
        <v>311.60638730620457</v>
      </c>
      <c r="F66" s="279">
        <f t="shared" si="36"/>
        <v>313.09173983738225</v>
      </c>
      <c r="G66" s="279">
        <f t="shared" si="36"/>
        <v>64.61057711170164</v>
      </c>
      <c r="H66" s="279">
        <f t="shared" si="36"/>
        <v>0.270375616</v>
      </c>
      <c r="I66" s="279">
        <f t="shared" si="36"/>
        <v>0.05964168</v>
      </c>
      <c r="J66" s="279">
        <f t="shared" si="36"/>
        <v>0.2894609536</v>
      </c>
      <c r="K66" s="279">
        <f t="shared" si="36"/>
        <v>0.2711708384</v>
      </c>
      <c r="L66" s="279">
        <f t="shared" si="36"/>
        <v>0.3149080704</v>
      </c>
      <c r="M66" s="279">
        <f t="shared" si="36"/>
        <v>86.80277324422354</v>
      </c>
      <c r="N66" s="279">
        <f t="shared" si="36"/>
        <v>324.8572004190314</v>
      </c>
      <c r="O66" s="279">
        <f t="shared" si="36"/>
        <v>375.50090513379024</v>
      </c>
      <c r="P66" s="44"/>
    </row>
    <row r="67" spans="1:15" ht="30.75" customHeight="1">
      <c r="A67" s="268"/>
      <c r="B67" s="269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</row>
    <row r="68" spans="1:15" ht="12.75">
      <c r="A68" s="370" t="str">
        <f>'Річний план общ'!A48:R48</f>
        <v>Директор  Красноградського ПТМ _________________________________  Олександр СИДОРЕНКО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0"/>
      <c r="N68" s="370"/>
      <c r="O68" s="370"/>
    </row>
    <row r="69" spans="1:15" ht="12.75">
      <c r="A69" s="370" t="s">
        <v>43</v>
      </c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</row>
  </sheetData>
  <sheetProtection/>
  <mergeCells count="9">
    <mergeCell ref="A68:O68"/>
    <mergeCell ref="A69:O69"/>
    <mergeCell ref="A3:O3"/>
    <mergeCell ref="K1:O1"/>
    <mergeCell ref="A2:O2"/>
    <mergeCell ref="C4:K4"/>
    <mergeCell ref="N4:O4"/>
    <mergeCell ref="A7:O7"/>
    <mergeCell ref="A39:O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48"/>
  <sheetViews>
    <sheetView zoomScalePageLayoutView="0" workbookViewId="0" topLeftCell="A29">
      <selection activeCell="C38" sqref="C38:O38"/>
    </sheetView>
  </sheetViews>
  <sheetFormatPr defaultColWidth="9.140625" defaultRowHeight="12.75"/>
  <cols>
    <col min="1" max="1" width="33.28125" style="0" customWidth="1"/>
  </cols>
  <sheetData>
    <row r="1" spans="1:15" ht="74.2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372" t="s">
        <v>443</v>
      </c>
      <c r="L1" s="372"/>
      <c r="M1" s="372"/>
      <c r="N1" s="372"/>
      <c r="O1" s="372"/>
    </row>
    <row r="2" spans="1:15" ht="33.75" customHeight="1">
      <c r="A2" s="382" t="s">
        <v>478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ht="15">
      <c r="A3" s="371" t="s">
        <v>474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5" ht="15">
      <c r="A4" s="252"/>
      <c r="B4" s="252"/>
      <c r="C4" s="374" t="s">
        <v>445</v>
      </c>
      <c r="D4" s="374"/>
      <c r="E4" s="374"/>
      <c r="F4" s="374"/>
      <c r="G4" s="374"/>
      <c r="H4" s="374"/>
      <c r="I4" s="374"/>
      <c r="J4" s="374"/>
      <c r="K4" s="374"/>
      <c r="L4" s="252"/>
      <c r="M4" s="252"/>
      <c r="N4" s="375" t="s">
        <v>46</v>
      </c>
      <c r="O4" s="375"/>
    </row>
    <row r="5" spans="1:15" ht="38.25">
      <c r="A5" s="253" t="s">
        <v>154</v>
      </c>
      <c r="B5" s="254" t="s">
        <v>47</v>
      </c>
      <c r="C5" s="254" t="s">
        <v>446</v>
      </c>
      <c r="D5" s="254" t="s">
        <v>4</v>
      </c>
      <c r="E5" s="254" t="s">
        <v>5</v>
      </c>
      <c r="F5" s="254" t="s">
        <v>6</v>
      </c>
      <c r="G5" s="254" t="s">
        <v>7</v>
      </c>
      <c r="H5" s="254" t="s">
        <v>8</v>
      </c>
      <c r="I5" s="254" t="s">
        <v>9</v>
      </c>
      <c r="J5" s="254" t="s">
        <v>10</v>
      </c>
      <c r="K5" s="254" t="s">
        <v>11</v>
      </c>
      <c r="L5" s="254" t="s">
        <v>12</v>
      </c>
      <c r="M5" s="254" t="s">
        <v>13</v>
      </c>
      <c r="N5" s="254" t="s">
        <v>14</v>
      </c>
      <c r="O5" s="254" t="s">
        <v>15</v>
      </c>
    </row>
    <row r="6" spans="1:15" ht="12.75">
      <c r="A6" s="256">
        <v>1</v>
      </c>
      <c r="B6" s="254">
        <v>2</v>
      </c>
      <c r="C6" s="254">
        <v>3</v>
      </c>
      <c r="D6" s="254">
        <v>4</v>
      </c>
      <c r="E6" s="254">
        <v>5</v>
      </c>
      <c r="F6" s="254">
        <v>6</v>
      </c>
      <c r="G6" s="254">
        <v>7</v>
      </c>
      <c r="H6" s="254">
        <v>8</v>
      </c>
      <c r="I6" s="254">
        <v>9</v>
      </c>
      <c r="J6" s="254">
        <v>10</v>
      </c>
      <c r="K6" s="254">
        <v>11</v>
      </c>
      <c r="L6" s="254">
        <v>12</v>
      </c>
      <c r="M6" s="254">
        <v>13</v>
      </c>
      <c r="N6" s="254">
        <v>14</v>
      </c>
      <c r="O6" s="254">
        <v>15</v>
      </c>
    </row>
    <row r="7" spans="1:15" ht="12.75">
      <c r="A7" s="376" t="s">
        <v>447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ht="38.25" customHeight="1">
      <c r="A8" s="257" t="s">
        <v>448</v>
      </c>
      <c r="B8" s="254" t="s">
        <v>18</v>
      </c>
      <c r="C8" s="273">
        <f>SUM(D8:O8)</f>
        <v>314.216</v>
      </c>
      <c r="D8" s="274">
        <v>74.26</v>
      </c>
      <c r="E8" s="274">
        <v>58.39</v>
      </c>
      <c r="F8" s="274">
        <v>48.07</v>
      </c>
      <c r="G8" s="274">
        <v>6.352</v>
      </c>
      <c r="H8" s="274">
        <f>'Річний план общ'!K17</f>
        <v>0</v>
      </c>
      <c r="I8" s="274">
        <f>'Річний план общ'!L17</f>
        <v>0</v>
      </c>
      <c r="J8" s="274">
        <f>'Річний план общ'!M17</f>
        <v>0</v>
      </c>
      <c r="K8" s="274">
        <f>'Річний план общ'!N17</f>
        <v>0</v>
      </c>
      <c r="L8" s="274">
        <f>'Річний план общ'!O17</f>
        <v>0</v>
      </c>
      <c r="M8" s="274">
        <v>13.156</v>
      </c>
      <c r="N8" s="274">
        <v>51.332</v>
      </c>
      <c r="O8" s="274">
        <v>62.656</v>
      </c>
    </row>
    <row r="9" spans="1:15" ht="30.75" customHeight="1">
      <c r="A9" s="257" t="s">
        <v>191</v>
      </c>
      <c r="B9" s="254" t="s">
        <v>475</v>
      </c>
      <c r="C9" s="275">
        <v>24.9</v>
      </c>
      <c r="D9" s="275">
        <v>24.9</v>
      </c>
      <c r="E9" s="275">
        <v>24.9</v>
      </c>
      <c r="F9" s="275">
        <v>24.9</v>
      </c>
      <c r="G9" s="275">
        <v>24.9</v>
      </c>
      <c r="H9" s="275">
        <v>24.9</v>
      </c>
      <c r="I9" s="275">
        <v>24.9</v>
      </c>
      <c r="J9" s="275">
        <v>24.9</v>
      </c>
      <c r="K9" s="275">
        <v>24.9</v>
      </c>
      <c r="L9" s="275">
        <v>24.9</v>
      </c>
      <c r="M9" s="275">
        <v>24.9</v>
      </c>
      <c r="N9" s="275">
        <v>24.9</v>
      </c>
      <c r="O9" s="275">
        <v>24.9</v>
      </c>
    </row>
    <row r="10" spans="1:15" ht="12.75">
      <c r="A10" s="257"/>
      <c r="B10" s="254"/>
      <c r="C10" s="274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</row>
    <row r="11" spans="1:15" ht="30" customHeight="1">
      <c r="A11" s="257" t="s">
        <v>192</v>
      </c>
      <c r="B11" s="254" t="s">
        <v>193</v>
      </c>
      <c r="C11" s="273">
        <f>SUM(D11:O11)</f>
        <v>1.56</v>
      </c>
      <c r="D11" s="273">
        <v>0.286</v>
      </c>
      <c r="E11" s="273">
        <v>0.258</v>
      </c>
      <c r="F11" s="273">
        <v>0.286</v>
      </c>
      <c r="G11" s="273">
        <v>0.062</v>
      </c>
      <c r="H11" s="273">
        <v>0</v>
      </c>
      <c r="I11" s="273">
        <f>I8*I9/1000</f>
        <v>0</v>
      </c>
      <c r="J11" s="273">
        <f>J8*J9/1000</f>
        <v>0</v>
      </c>
      <c r="K11" s="273">
        <f>K8*K9/1000</f>
        <v>0</v>
      </c>
      <c r="L11" s="273">
        <f>L8*L9/1000</f>
        <v>0</v>
      </c>
      <c r="M11" s="273">
        <v>0.104</v>
      </c>
      <c r="N11" s="273">
        <v>0.277</v>
      </c>
      <c r="O11" s="273">
        <v>0.287</v>
      </c>
    </row>
    <row r="12" spans="1:15" ht="27.75" customHeight="1">
      <c r="A12" s="257" t="s">
        <v>482</v>
      </c>
      <c r="B12" s="254" t="s">
        <v>193</v>
      </c>
      <c r="C12" s="273">
        <f>SUM(D12:O12)</f>
        <v>1.56</v>
      </c>
      <c r="D12" s="273">
        <f>D11</f>
        <v>0.286</v>
      </c>
      <c r="E12" s="273">
        <f aca="true" t="shared" si="0" ref="E12:O12">E11</f>
        <v>0.258</v>
      </c>
      <c r="F12" s="273">
        <f t="shared" si="0"/>
        <v>0.286</v>
      </c>
      <c r="G12" s="273">
        <f t="shared" si="0"/>
        <v>0.062</v>
      </c>
      <c r="H12" s="273">
        <f t="shared" si="0"/>
        <v>0</v>
      </c>
      <c r="I12" s="273">
        <f t="shared" si="0"/>
        <v>0</v>
      </c>
      <c r="J12" s="273">
        <f t="shared" si="0"/>
        <v>0</v>
      </c>
      <c r="K12" s="273">
        <f t="shared" si="0"/>
        <v>0</v>
      </c>
      <c r="L12" s="273">
        <f t="shared" si="0"/>
        <v>0</v>
      </c>
      <c r="M12" s="273">
        <f t="shared" si="0"/>
        <v>0.104</v>
      </c>
      <c r="N12" s="273">
        <f t="shared" si="0"/>
        <v>0.277</v>
      </c>
      <c r="O12" s="273">
        <f t="shared" si="0"/>
        <v>0.287</v>
      </c>
    </row>
    <row r="13" spans="1:15" ht="27" customHeight="1">
      <c r="A13" s="257" t="s">
        <v>479</v>
      </c>
      <c r="B13" s="254" t="s">
        <v>449</v>
      </c>
      <c r="C13" s="276">
        <v>90.744</v>
      </c>
      <c r="D13" s="276">
        <v>90.744</v>
      </c>
      <c r="E13" s="276">
        <v>90.744</v>
      </c>
      <c r="F13" s="276">
        <v>90.744</v>
      </c>
      <c r="G13" s="276">
        <v>90.744</v>
      </c>
      <c r="H13" s="276">
        <v>90.744</v>
      </c>
      <c r="I13" s="276">
        <v>90.744</v>
      </c>
      <c r="J13" s="276">
        <v>90.744</v>
      </c>
      <c r="K13" s="276">
        <v>90.744</v>
      </c>
      <c r="L13" s="276">
        <v>90.744</v>
      </c>
      <c r="M13" s="276">
        <v>90.744</v>
      </c>
      <c r="N13" s="276">
        <v>90.744</v>
      </c>
      <c r="O13" s="276">
        <v>90.744</v>
      </c>
    </row>
    <row r="14" spans="1:15" ht="24.75" customHeight="1">
      <c r="A14" s="271" t="s">
        <v>480</v>
      </c>
      <c r="B14" s="272" t="s">
        <v>53</v>
      </c>
      <c r="C14" s="258">
        <f>SUM(D14:O14)</f>
        <v>1.4156064</v>
      </c>
      <c r="D14" s="258">
        <f>D12*D13/100</f>
        <v>0.25952783999999995</v>
      </c>
      <c r="E14" s="258">
        <f aca="true" t="shared" si="1" ref="E14:O14">E12*E13/100</f>
        <v>0.23411952</v>
      </c>
      <c r="F14" s="258">
        <f t="shared" si="1"/>
        <v>0.25952783999999995</v>
      </c>
      <c r="G14" s="258">
        <f t="shared" si="1"/>
        <v>0.05626128</v>
      </c>
      <c r="H14" s="258">
        <f t="shared" si="1"/>
        <v>0</v>
      </c>
      <c r="I14" s="258">
        <f t="shared" si="1"/>
        <v>0</v>
      </c>
      <c r="J14" s="258">
        <f t="shared" si="1"/>
        <v>0</v>
      </c>
      <c r="K14" s="258">
        <f t="shared" si="1"/>
        <v>0</v>
      </c>
      <c r="L14" s="258">
        <f t="shared" si="1"/>
        <v>0</v>
      </c>
      <c r="M14" s="258">
        <f t="shared" si="1"/>
        <v>0.09437376</v>
      </c>
      <c r="N14" s="258">
        <f t="shared" si="1"/>
        <v>0.25136088</v>
      </c>
      <c r="O14" s="258">
        <f t="shared" si="1"/>
        <v>0.26043528</v>
      </c>
    </row>
    <row r="15" spans="1:15" ht="24.75" customHeight="1">
      <c r="A15" s="257" t="s">
        <v>450</v>
      </c>
      <c r="B15" s="254" t="s">
        <v>193</v>
      </c>
      <c r="C15" s="273">
        <f>SUM(D15:O15)</f>
        <v>1.56</v>
      </c>
      <c r="D15" s="273">
        <f>D11</f>
        <v>0.286</v>
      </c>
      <c r="E15" s="273">
        <f aca="true" t="shared" si="2" ref="E15:O15">E11</f>
        <v>0.258</v>
      </c>
      <c r="F15" s="273">
        <f t="shared" si="2"/>
        <v>0.286</v>
      </c>
      <c r="G15" s="273">
        <f t="shared" si="2"/>
        <v>0.062</v>
      </c>
      <c r="H15" s="273">
        <f t="shared" si="2"/>
        <v>0</v>
      </c>
      <c r="I15" s="273">
        <f t="shared" si="2"/>
        <v>0</v>
      </c>
      <c r="J15" s="273">
        <f t="shared" si="2"/>
        <v>0</v>
      </c>
      <c r="K15" s="273">
        <f t="shared" si="2"/>
        <v>0</v>
      </c>
      <c r="L15" s="273">
        <f t="shared" si="2"/>
        <v>0</v>
      </c>
      <c r="M15" s="273">
        <f t="shared" si="2"/>
        <v>0.104</v>
      </c>
      <c r="N15" s="273">
        <f t="shared" si="2"/>
        <v>0.277</v>
      </c>
      <c r="O15" s="273">
        <f t="shared" si="2"/>
        <v>0.287</v>
      </c>
    </row>
    <row r="16" spans="1:15" ht="23.25" customHeight="1">
      <c r="A16" s="257" t="s">
        <v>194</v>
      </c>
      <c r="B16" s="254" t="s">
        <v>449</v>
      </c>
      <c r="C16" s="276">
        <v>308.4635</v>
      </c>
      <c r="D16" s="277">
        <f>C16</f>
        <v>308.4635</v>
      </c>
      <c r="E16" s="277">
        <f aca="true" t="shared" si="3" ref="E16:O16">D16</f>
        <v>308.4635</v>
      </c>
      <c r="F16" s="277">
        <f t="shared" si="3"/>
        <v>308.4635</v>
      </c>
      <c r="G16" s="277">
        <f t="shared" si="3"/>
        <v>308.4635</v>
      </c>
      <c r="H16" s="277">
        <f t="shared" si="3"/>
        <v>308.4635</v>
      </c>
      <c r="I16" s="277">
        <f t="shared" si="3"/>
        <v>308.4635</v>
      </c>
      <c r="J16" s="277">
        <f t="shared" si="3"/>
        <v>308.4635</v>
      </c>
      <c r="K16" s="277">
        <f t="shared" si="3"/>
        <v>308.4635</v>
      </c>
      <c r="L16" s="277">
        <f t="shared" si="3"/>
        <v>308.4635</v>
      </c>
      <c r="M16" s="277">
        <f t="shared" si="3"/>
        <v>308.4635</v>
      </c>
      <c r="N16" s="277">
        <f t="shared" si="3"/>
        <v>308.4635</v>
      </c>
      <c r="O16" s="277">
        <f t="shared" si="3"/>
        <v>308.4635</v>
      </c>
    </row>
    <row r="17" spans="1:15" ht="29.25" customHeight="1">
      <c r="A17" s="271" t="s">
        <v>451</v>
      </c>
      <c r="B17" s="272" t="s">
        <v>53</v>
      </c>
      <c r="C17" s="258">
        <f>SUM(D17:O17)</f>
        <v>4.8120306</v>
      </c>
      <c r="D17" s="258">
        <f>D15*D16/100</f>
        <v>0.8822056099999999</v>
      </c>
      <c r="E17" s="258">
        <f aca="true" t="shared" si="4" ref="E17:O17">E15*E16/100</f>
        <v>0.79583583</v>
      </c>
      <c r="F17" s="258">
        <f t="shared" si="4"/>
        <v>0.8822056099999999</v>
      </c>
      <c r="G17" s="258">
        <f t="shared" si="4"/>
        <v>0.19124737</v>
      </c>
      <c r="H17" s="258">
        <f t="shared" si="4"/>
        <v>0</v>
      </c>
      <c r="I17" s="258">
        <f t="shared" si="4"/>
        <v>0</v>
      </c>
      <c r="J17" s="258">
        <f t="shared" si="4"/>
        <v>0</v>
      </c>
      <c r="K17" s="258">
        <f t="shared" si="4"/>
        <v>0</v>
      </c>
      <c r="L17" s="258">
        <f t="shared" si="4"/>
        <v>0</v>
      </c>
      <c r="M17" s="258">
        <f t="shared" si="4"/>
        <v>0.32080204</v>
      </c>
      <c r="N17" s="258">
        <f t="shared" si="4"/>
        <v>0.8544438950000002</v>
      </c>
      <c r="O17" s="258">
        <f t="shared" si="4"/>
        <v>0.8852902449999999</v>
      </c>
    </row>
    <row r="18" spans="1:15" ht="36.75" customHeight="1">
      <c r="A18" s="257" t="s">
        <v>452</v>
      </c>
      <c r="B18" s="254" t="s">
        <v>193</v>
      </c>
      <c r="C18" s="259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60">
        <v>0</v>
      </c>
      <c r="O18" s="260">
        <v>0</v>
      </c>
    </row>
    <row r="19" spans="1:15" ht="40.5" customHeight="1">
      <c r="A19" s="257" t="s">
        <v>453</v>
      </c>
      <c r="B19" s="254" t="s">
        <v>449</v>
      </c>
      <c r="C19" s="259">
        <v>0</v>
      </c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v>0</v>
      </c>
      <c r="M19" s="260">
        <v>0</v>
      </c>
      <c r="N19" s="260">
        <v>0</v>
      </c>
      <c r="O19" s="260">
        <v>0</v>
      </c>
    </row>
    <row r="20" spans="1:15" ht="29.25" customHeight="1">
      <c r="A20" s="257" t="s">
        <v>454</v>
      </c>
      <c r="B20" s="254" t="s">
        <v>53</v>
      </c>
      <c r="C20" s="259">
        <v>0</v>
      </c>
      <c r="D20" s="260">
        <v>0</v>
      </c>
      <c r="E20" s="260">
        <v>0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</row>
    <row r="21" spans="1:15" ht="27" customHeight="1">
      <c r="A21" s="257" t="s">
        <v>455</v>
      </c>
      <c r="B21" s="254" t="s">
        <v>53</v>
      </c>
      <c r="C21" s="280">
        <f>C14+C17</f>
        <v>6.227637</v>
      </c>
      <c r="D21" s="280">
        <f aca="true" t="shared" si="5" ref="D21:O21">D14+D17</f>
        <v>1.1417334499999998</v>
      </c>
      <c r="E21" s="280">
        <f t="shared" si="5"/>
        <v>1.02995535</v>
      </c>
      <c r="F21" s="280">
        <f t="shared" si="5"/>
        <v>1.1417334499999998</v>
      </c>
      <c r="G21" s="280">
        <f t="shared" si="5"/>
        <v>0.24750865</v>
      </c>
      <c r="H21" s="280">
        <f t="shared" si="5"/>
        <v>0</v>
      </c>
      <c r="I21" s="280">
        <f t="shared" si="5"/>
        <v>0</v>
      </c>
      <c r="J21" s="280">
        <f t="shared" si="5"/>
        <v>0</v>
      </c>
      <c r="K21" s="280">
        <f t="shared" si="5"/>
        <v>0</v>
      </c>
      <c r="L21" s="280">
        <f t="shared" si="5"/>
        <v>0</v>
      </c>
      <c r="M21" s="280">
        <f t="shared" si="5"/>
        <v>0.4151758</v>
      </c>
      <c r="N21" s="280">
        <f t="shared" si="5"/>
        <v>1.1058047750000002</v>
      </c>
      <c r="O21" s="280">
        <f t="shared" si="5"/>
        <v>1.1457255249999998</v>
      </c>
    </row>
    <row r="22" spans="1:15" ht="38.25" customHeight="1">
      <c r="A22" s="257" t="s">
        <v>456</v>
      </c>
      <c r="B22" s="254" t="s">
        <v>457</v>
      </c>
      <c r="C22" s="273">
        <f>SUM(D22:O22)</f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2">
        <v>0</v>
      </c>
      <c r="O22" s="262">
        <v>0</v>
      </c>
    </row>
    <row r="23" spans="1:15" ht="35.25" customHeight="1">
      <c r="A23" s="257" t="s">
        <v>458</v>
      </c>
      <c r="B23" s="254" t="s">
        <v>459</v>
      </c>
      <c r="C23" s="263">
        <v>0</v>
      </c>
      <c r="D23" s="263">
        <v>0</v>
      </c>
      <c r="E23" s="263">
        <v>0</v>
      </c>
      <c r="F23" s="263">
        <v>0</v>
      </c>
      <c r="G23" s="263">
        <v>0</v>
      </c>
      <c r="H23" s="263">
        <v>0</v>
      </c>
      <c r="I23" s="263">
        <v>0</v>
      </c>
      <c r="J23" s="263">
        <v>0</v>
      </c>
      <c r="K23" s="263">
        <v>0</v>
      </c>
      <c r="L23" s="263">
        <v>0</v>
      </c>
      <c r="M23" s="263">
        <v>0</v>
      </c>
      <c r="N23" s="263">
        <v>0</v>
      </c>
      <c r="O23" s="263">
        <v>0</v>
      </c>
    </row>
    <row r="24" spans="1:15" ht="36" customHeight="1">
      <c r="A24" s="271" t="s">
        <v>460</v>
      </c>
      <c r="B24" s="272" t="s">
        <v>53</v>
      </c>
      <c r="C24" s="258">
        <f>C22*C23/100</f>
        <v>0</v>
      </c>
      <c r="D24" s="258">
        <f aca="true" t="shared" si="6" ref="D24:O24">D22*D23/100</f>
        <v>0</v>
      </c>
      <c r="E24" s="258">
        <f t="shared" si="6"/>
        <v>0</v>
      </c>
      <c r="F24" s="258">
        <f t="shared" si="6"/>
        <v>0</v>
      </c>
      <c r="G24" s="258">
        <f t="shared" si="6"/>
        <v>0</v>
      </c>
      <c r="H24" s="258">
        <f t="shared" si="6"/>
        <v>0</v>
      </c>
      <c r="I24" s="258">
        <f t="shared" si="6"/>
        <v>0</v>
      </c>
      <c r="J24" s="258">
        <f t="shared" si="6"/>
        <v>0</v>
      </c>
      <c r="K24" s="258">
        <f t="shared" si="6"/>
        <v>0</v>
      </c>
      <c r="L24" s="258">
        <f t="shared" si="6"/>
        <v>0</v>
      </c>
      <c r="M24" s="258">
        <f t="shared" si="6"/>
        <v>0</v>
      </c>
      <c r="N24" s="258">
        <f t="shared" si="6"/>
        <v>0</v>
      </c>
      <c r="O24" s="258">
        <f t="shared" si="6"/>
        <v>0</v>
      </c>
    </row>
    <row r="25" spans="1:15" ht="37.5" customHeight="1">
      <c r="A25" s="257" t="s">
        <v>461</v>
      </c>
      <c r="B25" s="254" t="s">
        <v>462</v>
      </c>
      <c r="C25" s="256">
        <f>SUM(D25:O25)</f>
        <v>0</v>
      </c>
      <c r="D25" s="256">
        <v>0</v>
      </c>
      <c r="E25" s="256">
        <v>0</v>
      </c>
      <c r="F25" s="256">
        <v>0</v>
      </c>
      <c r="G25" s="256">
        <v>0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6">
        <v>0</v>
      </c>
      <c r="O25" s="256">
        <v>0</v>
      </c>
    </row>
    <row r="26" spans="1:15" ht="36" customHeight="1">
      <c r="A26" s="257" t="s">
        <v>463</v>
      </c>
      <c r="B26" s="254" t="s">
        <v>459</v>
      </c>
      <c r="C26" s="256">
        <f>C23</f>
        <v>0</v>
      </c>
      <c r="D26" s="256">
        <f aca="true" t="shared" si="7" ref="D26:O26">D23</f>
        <v>0</v>
      </c>
      <c r="E26" s="256">
        <f t="shared" si="7"/>
        <v>0</v>
      </c>
      <c r="F26" s="256">
        <f t="shared" si="7"/>
        <v>0</v>
      </c>
      <c r="G26" s="256">
        <f t="shared" si="7"/>
        <v>0</v>
      </c>
      <c r="H26" s="256">
        <f t="shared" si="7"/>
        <v>0</v>
      </c>
      <c r="I26" s="256">
        <f t="shared" si="7"/>
        <v>0</v>
      </c>
      <c r="J26" s="256">
        <f t="shared" si="7"/>
        <v>0</v>
      </c>
      <c r="K26" s="256">
        <f t="shared" si="7"/>
        <v>0</v>
      </c>
      <c r="L26" s="256">
        <f t="shared" si="7"/>
        <v>0</v>
      </c>
      <c r="M26" s="256">
        <f t="shared" si="7"/>
        <v>0</v>
      </c>
      <c r="N26" s="256">
        <f t="shared" si="7"/>
        <v>0</v>
      </c>
      <c r="O26" s="256">
        <f t="shared" si="7"/>
        <v>0</v>
      </c>
    </row>
    <row r="27" spans="1:15" ht="30.75" customHeight="1">
      <c r="A27" s="271" t="s">
        <v>464</v>
      </c>
      <c r="B27" s="272" t="s">
        <v>53</v>
      </c>
      <c r="C27" s="278">
        <f>C25*C26/100</f>
        <v>0</v>
      </c>
      <c r="D27" s="278">
        <f aca="true" t="shared" si="8" ref="D27:O27">D25*D26/100</f>
        <v>0</v>
      </c>
      <c r="E27" s="278">
        <f t="shared" si="8"/>
        <v>0</v>
      </c>
      <c r="F27" s="278">
        <f t="shared" si="8"/>
        <v>0</v>
      </c>
      <c r="G27" s="278">
        <f t="shared" si="8"/>
        <v>0</v>
      </c>
      <c r="H27" s="278">
        <f t="shared" si="8"/>
        <v>0</v>
      </c>
      <c r="I27" s="278">
        <f t="shared" si="8"/>
        <v>0</v>
      </c>
      <c r="J27" s="278">
        <f t="shared" si="8"/>
        <v>0</v>
      </c>
      <c r="K27" s="278">
        <f t="shared" si="8"/>
        <v>0</v>
      </c>
      <c r="L27" s="278">
        <f t="shared" si="8"/>
        <v>0</v>
      </c>
      <c r="M27" s="278">
        <f t="shared" si="8"/>
        <v>0</v>
      </c>
      <c r="N27" s="278">
        <f t="shared" si="8"/>
        <v>0</v>
      </c>
      <c r="O27" s="278">
        <f t="shared" si="8"/>
        <v>0</v>
      </c>
    </row>
    <row r="28" spans="1:16" ht="57" customHeight="1">
      <c r="A28" s="264" t="s">
        <v>477</v>
      </c>
      <c r="B28" s="253" t="s">
        <v>53</v>
      </c>
      <c r="C28" s="279">
        <f>C14+C17+C24+C27</f>
        <v>6.227637</v>
      </c>
      <c r="D28" s="279">
        <f aca="true" t="shared" si="9" ref="D28:O28">D14+D17+D24+D27</f>
        <v>1.1417334499999998</v>
      </c>
      <c r="E28" s="279">
        <f t="shared" si="9"/>
        <v>1.02995535</v>
      </c>
      <c r="F28" s="279">
        <f t="shared" si="9"/>
        <v>1.1417334499999998</v>
      </c>
      <c r="G28" s="279">
        <f t="shared" si="9"/>
        <v>0.24750865</v>
      </c>
      <c r="H28" s="279">
        <f t="shared" si="9"/>
        <v>0</v>
      </c>
      <c r="I28" s="279">
        <f t="shared" si="9"/>
        <v>0</v>
      </c>
      <c r="J28" s="279">
        <f t="shared" si="9"/>
        <v>0</v>
      </c>
      <c r="K28" s="279">
        <f t="shared" si="9"/>
        <v>0</v>
      </c>
      <c r="L28" s="279">
        <f t="shared" si="9"/>
        <v>0</v>
      </c>
      <c r="M28" s="279">
        <f t="shared" si="9"/>
        <v>0.4151758</v>
      </c>
      <c r="N28" s="279">
        <f t="shared" si="9"/>
        <v>1.1058047750000002</v>
      </c>
      <c r="O28" s="279">
        <f t="shared" si="9"/>
        <v>1.1457255249999998</v>
      </c>
      <c r="P28" s="44">
        <f>SUM(D28:O28)</f>
        <v>6.227637</v>
      </c>
    </row>
    <row r="29" spans="1:15" ht="12.75">
      <c r="A29" s="379" t="s">
        <v>465</v>
      </c>
      <c r="B29" s="380"/>
      <c r="C29" s="380"/>
      <c r="D29" s="380"/>
      <c r="E29" s="380"/>
      <c r="F29" s="380"/>
      <c r="G29" s="380"/>
      <c r="H29" s="380"/>
      <c r="I29" s="380"/>
      <c r="J29" s="380"/>
      <c r="K29" s="380"/>
      <c r="L29" s="380"/>
      <c r="M29" s="380"/>
      <c r="N29" s="380"/>
      <c r="O29" s="381"/>
    </row>
    <row r="30" spans="1:15" ht="38.25" customHeight="1">
      <c r="A30" s="257" t="s">
        <v>466</v>
      </c>
      <c r="B30" s="254" t="s">
        <v>467</v>
      </c>
      <c r="C30" s="265">
        <f>C8</f>
        <v>314.216</v>
      </c>
      <c r="D30" s="265">
        <f aca="true" t="shared" si="10" ref="D30:O30">D8</f>
        <v>74.26</v>
      </c>
      <c r="E30" s="265">
        <f t="shared" si="10"/>
        <v>58.39</v>
      </c>
      <c r="F30" s="265">
        <f t="shared" si="10"/>
        <v>48.07</v>
      </c>
      <c r="G30" s="265">
        <f t="shared" si="10"/>
        <v>6.352</v>
      </c>
      <c r="H30" s="265">
        <f t="shared" si="10"/>
        <v>0</v>
      </c>
      <c r="I30" s="265">
        <f t="shared" si="10"/>
        <v>0</v>
      </c>
      <c r="J30" s="265">
        <f t="shared" si="10"/>
        <v>0</v>
      </c>
      <c r="K30" s="265">
        <f t="shared" si="10"/>
        <v>0</v>
      </c>
      <c r="L30" s="265">
        <f t="shared" si="10"/>
        <v>0</v>
      </c>
      <c r="M30" s="265">
        <f t="shared" si="10"/>
        <v>13.156</v>
      </c>
      <c r="N30" s="265">
        <f t="shared" si="10"/>
        <v>51.332</v>
      </c>
      <c r="O30" s="265">
        <f t="shared" si="10"/>
        <v>62.656</v>
      </c>
    </row>
    <row r="31" spans="1:15" ht="34.5" customHeight="1">
      <c r="A31" s="257" t="s">
        <v>468</v>
      </c>
      <c r="B31" s="254" t="s">
        <v>469</v>
      </c>
      <c r="C31" s="256">
        <v>24.9</v>
      </c>
      <c r="D31" s="256">
        <v>24.9</v>
      </c>
      <c r="E31" s="256">
        <v>24.9</v>
      </c>
      <c r="F31" s="256">
        <v>24.9</v>
      </c>
      <c r="G31" s="256">
        <v>24.9</v>
      </c>
      <c r="H31" s="256">
        <v>24.9</v>
      </c>
      <c r="I31" s="256">
        <v>24.9</v>
      </c>
      <c r="J31" s="256">
        <v>24.9</v>
      </c>
      <c r="K31" s="256">
        <v>24.9</v>
      </c>
      <c r="L31" s="256">
        <v>24.9</v>
      </c>
      <c r="M31" s="256">
        <v>24.9</v>
      </c>
      <c r="N31" s="256">
        <v>24.9</v>
      </c>
      <c r="O31" s="256">
        <v>24.9</v>
      </c>
    </row>
    <row r="32" spans="1:15" ht="39.75" customHeight="1">
      <c r="A32" s="257" t="s">
        <v>470</v>
      </c>
      <c r="B32" s="254" t="s">
        <v>471</v>
      </c>
      <c r="C32" s="266">
        <f>SUM(D32:O32)</f>
        <v>2.104</v>
      </c>
      <c r="D32" s="286">
        <f>'електроенергія загальна'!D43</f>
        <v>0.417995925964126</v>
      </c>
      <c r="E32" s="286">
        <f>'електроенергія загальна'!E43</f>
        <v>0.355009681109413</v>
      </c>
      <c r="F32" s="286">
        <f>'електроенергія загальна'!F43</f>
        <v>0.3576519863855004</v>
      </c>
      <c r="G32" s="286">
        <f>'електроенергія загальна'!G43</f>
        <v>0.0733662014420868</v>
      </c>
      <c r="H32" s="286">
        <f>'електроенергія загальна'!H43</f>
        <v>0</v>
      </c>
      <c r="I32" s="286">
        <f>'електроенергія загальна'!I43</f>
        <v>0</v>
      </c>
      <c r="J32" s="286">
        <f>'електроенергія загальна'!J43</f>
        <v>0</v>
      </c>
      <c r="K32" s="286">
        <f>'електроенергія загальна'!K43</f>
        <v>0</v>
      </c>
      <c r="L32" s="286">
        <f>'електроенергія загальна'!L43</f>
        <v>0</v>
      </c>
      <c r="M32" s="286">
        <f>'електроенергія загальна'!M43</f>
        <v>0.10285940825683774</v>
      </c>
      <c r="N32" s="286">
        <f>'електроенергія загальна'!N43</f>
        <v>0.36990732623229045</v>
      </c>
      <c r="O32" s="286">
        <f>'електроенергія загальна'!O43</f>
        <v>0.4272094706097459</v>
      </c>
    </row>
    <row r="33" spans="1:15" ht="39.75" customHeight="1">
      <c r="A33" s="257" t="s">
        <v>482</v>
      </c>
      <c r="B33" s="254" t="s">
        <v>471</v>
      </c>
      <c r="C33" s="266">
        <f>SUM(D33:O33)</f>
        <v>2.104</v>
      </c>
      <c r="D33" s="286">
        <f>D32</f>
        <v>0.417995925964126</v>
      </c>
      <c r="E33" s="286">
        <f aca="true" t="shared" si="11" ref="E33:O33">E32</f>
        <v>0.355009681109413</v>
      </c>
      <c r="F33" s="286">
        <f t="shared" si="11"/>
        <v>0.3576519863855004</v>
      </c>
      <c r="G33" s="286">
        <f t="shared" si="11"/>
        <v>0.0733662014420868</v>
      </c>
      <c r="H33" s="286">
        <f t="shared" si="11"/>
        <v>0</v>
      </c>
      <c r="I33" s="286">
        <f t="shared" si="11"/>
        <v>0</v>
      </c>
      <c r="J33" s="286">
        <f t="shared" si="11"/>
        <v>0</v>
      </c>
      <c r="K33" s="286">
        <f t="shared" si="11"/>
        <v>0</v>
      </c>
      <c r="L33" s="286">
        <f t="shared" si="11"/>
        <v>0</v>
      </c>
      <c r="M33" s="286">
        <f t="shared" si="11"/>
        <v>0.10285940825683774</v>
      </c>
      <c r="N33" s="286">
        <f t="shared" si="11"/>
        <v>0.36990732623229045</v>
      </c>
      <c r="O33" s="286">
        <f t="shared" si="11"/>
        <v>0.4272094706097459</v>
      </c>
    </row>
    <row r="34" spans="1:15" ht="24.75" customHeight="1">
      <c r="A34" s="257" t="s">
        <v>479</v>
      </c>
      <c r="B34" s="254" t="s">
        <v>472</v>
      </c>
      <c r="C34" s="286">
        <f>'електроенергія загальна'!C50</f>
        <v>90.744</v>
      </c>
      <c r="D34" s="286">
        <f>'електроенергія загальна'!D50</f>
        <v>90.744</v>
      </c>
      <c r="E34" s="286">
        <f>'електроенергія загальна'!E50</f>
        <v>90.744</v>
      </c>
      <c r="F34" s="286">
        <f>'електроенергія загальна'!F50</f>
        <v>90.744</v>
      </c>
      <c r="G34" s="286">
        <f>'електроенергія загальна'!G50</f>
        <v>90.744</v>
      </c>
      <c r="H34" s="286">
        <f>'електроенергія загальна'!H50</f>
        <v>90.744</v>
      </c>
      <c r="I34" s="286">
        <f>'електроенергія загальна'!I50</f>
        <v>90.744</v>
      </c>
      <c r="J34" s="286">
        <f>'електроенергія загальна'!J50</f>
        <v>90.744</v>
      </c>
      <c r="K34" s="286">
        <f>'електроенергія загальна'!K50</f>
        <v>90.744</v>
      </c>
      <c r="L34" s="286">
        <f>'електроенергія загальна'!L50</f>
        <v>90.744</v>
      </c>
      <c r="M34" s="286">
        <f>'електроенергія загальна'!M50</f>
        <v>90.744</v>
      </c>
      <c r="N34" s="286">
        <f>'електроенергія загальна'!N50</f>
        <v>90.744</v>
      </c>
      <c r="O34" s="286">
        <f>'електроенергія загальна'!O50</f>
        <v>90.744</v>
      </c>
    </row>
    <row r="35" spans="1:15" ht="25.5" customHeight="1">
      <c r="A35" s="271" t="s">
        <v>480</v>
      </c>
      <c r="B35" s="272" t="s">
        <v>473</v>
      </c>
      <c r="C35" s="258">
        <f>C33*C34/100</f>
        <v>1.90925376</v>
      </c>
      <c r="D35" s="258">
        <f aca="true" t="shared" si="12" ref="D35:O35">D33*D34/100</f>
        <v>0.3793062230568865</v>
      </c>
      <c r="E35" s="258">
        <f t="shared" si="12"/>
        <v>0.32214998502592573</v>
      </c>
      <c r="F35" s="258">
        <f t="shared" si="12"/>
        <v>0.3245477185256585</v>
      </c>
      <c r="G35" s="258">
        <f t="shared" si="12"/>
        <v>0.06657542583660725</v>
      </c>
      <c r="H35" s="258">
        <f t="shared" si="12"/>
        <v>0</v>
      </c>
      <c r="I35" s="258">
        <f t="shared" si="12"/>
        <v>0</v>
      </c>
      <c r="J35" s="258">
        <f t="shared" si="12"/>
        <v>0</v>
      </c>
      <c r="K35" s="258">
        <f t="shared" si="12"/>
        <v>0</v>
      </c>
      <c r="L35" s="258">
        <f t="shared" si="12"/>
        <v>0</v>
      </c>
      <c r="M35" s="258">
        <f t="shared" si="12"/>
        <v>0.09333874142858484</v>
      </c>
      <c r="N35" s="258">
        <f t="shared" si="12"/>
        <v>0.3356687041162296</v>
      </c>
      <c r="O35" s="258">
        <f t="shared" si="12"/>
        <v>0.3876669620101078</v>
      </c>
    </row>
    <row r="36" spans="1:15" ht="33.75" customHeight="1">
      <c r="A36" s="257" t="s">
        <v>450</v>
      </c>
      <c r="B36" s="254" t="s">
        <v>193</v>
      </c>
      <c r="C36" s="266">
        <f>SUM(D36:O36)</f>
        <v>0</v>
      </c>
      <c r="D36" s="286">
        <v>0</v>
      </c>
      <c r="E36" s="286">
        <v>0</v>
      </c>
      <c r="F36" s="286">
        <v>0</v>
      </c>
      <c r="G36" s="286">
        <v>0</v>
      </c>
      <c r="H36" s="286">
        <v>0</v>
      </c>
      <c r="I36" s="286">
        <v>0</v>
      </c>
      <c r="J36" s="286">
        <v>0</v>
      </c>
      <c r="K36" s="286">
        <v>0</v>
      </c>
      <c r="L36" s="286">
        <v>0</v>
      </c>
      <c r="M36" s="286">
        <v>0</v>
      </c>
      <c r="N36" s="286">
        <v>0</v>
      </c>
      <c r="O36" s="286">
        <v>0</v>
      </c>
    </row>
    <row r="37" spans="1:15" ht="22.5" customHeight="1">
      <c r="A37" s="257" t="s">
        <v>194</v>
      </c>
      <c r="B37" s="254" t="s">
        <v>449</v>
      </c>
      <c r="C37" s="286">
        <f>C16</f>
        <v>308.4635</v>
      </c>
      <c r="D37" s="286">
        <f aca="true" t="shared" si="13" ref="D37:O37">D16</f>
        <v>308.4635</v>
      </c>
      <c r="E37" s="286">
        <f t="shared" si="13"/>
        <v>308.4635</v>
      </c>
      <c r="F37" s="286">
        <f t="shared" si="13"/>
        <v>308.4635</v>
      </c>
      <c r="G37" s="286">
        <f t="shared" si="13"/>
        <v>308.4635</v>
      </c>
      <c r="H37" s="286">
        <f t="shared" si="13"/>
        <v>308.4635</v>
      </c>
      <c r="I37" s="286">
        <f t="shared" si="13"/>
        <v>308.4635</v>
      </c>
      <c r="J37" s="286">
        <f t="shared" si="13"/>
        <v>308.4635</v>
      </c>
      <c r="K37" s="286">
        <f t="shared" si="13"/>
        <v>308.4635</v>
      </c>
      <c r="L37" s="286">
        <f t="shared" si="13"/>
        <v>308.4635</v>
      </c>
      <c r="M37" s="286">
        <f t="shared" si="13"/>
        <v>308.4635</v>
      </c>
      <c r="N37" s="286">
        <f t="shared" si="13"/>
        <v>308.4635</v>
      </c>
      <c r="O37" s="286">
        <f t="shared" si="13"/>
        <v>308.4635</v>
      </c>
    </row>
    <row r="38" spans="1:15" ht="25.5">
      <c r="A38" s="271" t="s">
        <v>451</v>
      </c>
      <c r="B38" s="272" t="s">
        <v>53</v>
      </c>
      <c r="C38" s="287">
        <f>C32*C37/100</f>
        <v>6.49007204</v>
      </c>
      <c r="D38" s="287">
        <f aca="true" t="shared" si="14" ref="D38:O38">D32*D37/100</f>
        <v>1.289364863086352</v>
      </c>
      <c r="E38" s="287">
        <f t="shared" si="14"/>
        <v>1.0950752876889343</v>
      </c>
      <c r="F38" s="287">
        <f t="shared" si="14"/>
        <v>1.1032258350242379</v>
      </c>
      <c r="G38" s="287">
        <f t="shared" si="14"/>
        <v>0.22630795278531143</v>
      </c>
      <c r="H38" s="287">
        <f t="shared" si="14"/>
        <v>0</v>
      </c>
      <c r="I38" s="287">
        <f t="shared" si="14"/>
        <v>0</v>
      </c>
      <c r="J38" s="287">
        <f t="shared" si="14"/>
        <v>0</v>
      </c>
      <c r="K38" s="287">
        <f t="shared" si="14"/>
        <v>0</v>
      </c>
      <c r="L38" s="287">
        <f t="shared" si="14"/>
        <v>0</v>
      </c>
      <c r="M38" s="287">
        <f t="shared" si="14"/>
        <v>0.3172837307883307</v>
      </c>
      <c r="N38" s="287">
        <f t="shared" si="14"/>
        <v>1.1410290852525413</v>
      </c>
      <c r="O38" s="287">
        <f t="shared" si="14"/>
        <v>1.3177852853742937</v>
      </c>
    </row>
    <row r="39" spans="1:15" ht="25.5">
      <c r="A39" s="257" t="s">
        <v>456</v>
      </c>
      <c r="B39" s="254" t="s">
        <v>462</v>
      </c>
      <c r="C39" s="267">
        <f>SUM(D39:O39)</f>
        <v>0</v>
      </c>
      <c r="D39" s="256">
        <v>0</v>
      </c>
      <c r="E39" s="256">
        <v>0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</row>
    <row r="40" spans="1:15" ht="25.5">
      <c r="A40" s="257" t="s">
        <v>458</v>
      </c>
      <c r="B40" s="254" t="s">
        <v>459</v>
      </c>
      <c r="C40" s="267">
        <v>0</v>
      </c>
      <c r="D40" s="267">
        <v>0</v>
      </c>
      <c r="E40" s="267">
        <v>0</v>
      </c>
      <c r="F40" s="267">
        <v>0</v>
      </c>
      <c r="G40" s="267">
        <v>0</v>
      </c>
      <c r="H40" s="267">
        <v>0</v>
      </c>
      <c r="I40" s="267">
        <v>0</v>
      </c>
      <c r="J40" s="267">
        <v>0</v>
      </c>
      <c r="K40" s="267">
        <v>0</v>
      </c>
      <c r="L40" s="267">
        <v>0</v>
      </c>
      <c r="M40" s="267">
        <v>0</v>
      </c>
      <c r="N40" s="267">
        <v>0</v>
      </c>
      <c r="O40" s="267">
        <v>0</v>
      </c>
    </row>
    <row r="41" spans="1:15" ht="30" customHeight="1">
      <c r="A41" s="271" t="s">
        <v>460</v>
      </c>
      <c r="B41" s="272" t="s">
        <v>53</v>
      </c>
      <c r="C41" s="258">
        <f>SUM(D41:O41)</f>
        <v>0</v>
      </c>
      <c r="D41" s="278">
        <f>D39*D40/100</f>
        <v>0</v>
      </c>
      <c r="E41" s="278">
        <f aca="true" t="shared" si="15" ref="E41:O41">E39*E40/100</f>
        <v>0</v>
      </c>
      <c r="F41" s="278">
        <f t="shared" si="15"/>
        <v>0</v>
      </c>
      <c r="G41" s="278">
        <f t="shared" si="15"/>
        <v>0</v>
      </c>
      <c r="H41" s="278">
        <f t="shared" si="15"/>
        <v>0</v>
      </c>
      <c r="I41" s="278">
        <f t="shared" si="15"/>
        <v>0</v>
      </c>
      <c r="J41" s="278">
        <f t="shared" si="15"/>
        <v>0</v>
      </c>
      <c r="K41" s="278">
        <f t="shared" si="15"/>
        <v>0</v>
      </c>
      <c r="L41" s="278">
        <f t="shared" si="15"/>
        <v>0</v>
      </c>
      <c r="M41" s="278">
        <f t="shared" si="15"/>
        <v>0</v>
      </c>
      <c r="N41" s="278">
        <f t="shared" si="15"/>
        <v>0</v>
      </c>
      <c r="O41" s="278">
        <f t="shared" si="15"/>
        <v>0</v>
      </c>
    </row>
    <row r="42" spans="1:15" ht="24.75" customHeight="1">
      <c r="A42" s="257" t="s">
        <v>461</v>
      </c>
      <c r="B42" s="254" t="s">
        <v>462</v>
      </c>
      <c r="C42" s="267">
        <v>0</v>
      </c>
      <c r="D42" s="267">
        <v>0</v>
      </c>
      <c r="E42" s="267">
        <v>0</v>
      </c>
      <c r="F42" s="267">
        <v>0</v>
      </c>
      <c r="G42" s="267">
        <v>0</v>
      </c>
      <c r="H42" s="267">
        <v>0</v>
      </c>
      <c r="I42" s="267">
        <v>0</v>
      </c>
      <c r="J42" s="267">
        <v>0</v>
      </c>
      <c r="K42" s="267">
        <v>0</v>
      </c>
      <c r="L42" s="267">
        <v>0</v>
      </c>
      <c r="M42" s="267">
        <v>0</v>
      </c>
      <c r="N42" s="267">
        <v>0</v>
      </c>
      <c r="O42" s="267">
        <v>0</v>
      </c>
    </row>
    <row r="43" spans="1:15" ht="30.75" customHeight="1">
      <c r="A43" s="257" t="s">
        <v>463</v>
      </c>
      <c r="B43" s="254" t="s">
        <v>459</v>
      </c>
      <c r="C43" s="267">
        <f>C40</f>
        <v>0</v>
      </c>
      <c r="D43" s="267">
        <f aca="true" t="shared" si="16" ref="D43:O43">D40</f>
        <v>0</v>
      </c>
      <c r="E43" s="267">
        <f t="shared" si="16"/>
        <v>0</v>
      </c>
      <c r="F43" s="267">
        <f t="shared" si="16"/>
        <v>0</v>
      </c>
      <c r="G43" s="267">
        <f t="shared" si="16"/>
        <v>0</v>
      </c>
      <c r="H43" s="267">
        <f t="shared" si="16"/>
        <v>0</v>
      </c>
      <c r="I43" s="267">
        <f t="shared" si="16"/>
        <v>0</v>
      </c>
      <c r="J43" s="267">
        <f t="shared" si="16"/>
        <v>0</v>
      </c>
      <c r="K43" s="267">
        <f t="shared" si="16"/>
        <v>0</v>
      </c>
      <c r="L43" s="267">
        <f t="shared" si="16"/>
        <v>0</v>
      </c>
      <c r="M43" s="267">
        <f t="shared" si="16"/>
        <v>0</v>
      </c>
      <c r="N43" s="267">
        <f t="shared" si="16"/>
        <v>0</v>
      </c>
      <c r="O43" s="267">
        <f t="shared" si="16"/>
        <v>0</v>
      </c>
    </row>
    <row r="44" spans="1:15" ht="31.5" customHeight="1">
      <c r="A44" s="271" t="s">
        <v>464</v>
      </c>
      <c r="B44" s="272" t="s">
        <v>53</v>
      </c>
      <c r="C44" s="258">
        <f>SUM(D44:O44)</f>
        <v>0</v>
      </c>
      <c r="D44" s="278">
        <f>D42*D43/100</f>
        <v>0</v>
      </c>
      <c r="E44" s="278">
        <f aca="true" t="shared" si="17" ref="E44:O44">E42*E43/100</f>
        <v>0</v>
      </c>
      <c r="F44" s="278">
        <f t="shared" si="17"/>
        <v>0</v>
      </c>
      <c r="G44" s="278">
        <f t="shared" si="17"/>
        <v>0</v>
      </c>
      <c r="H44" s="278">
        <f t="shared" si="17"/>
        <v>0</v>
      </c>
      <c r="I44" s="278">
        <f t="shared" si="17"/>
        <v>0</v>
      </c>
      <c r="J44" s="278">
        <f t="shared" si="17"/>
        <v>0</v>
      </c>
      <c r="K44" s="278">
        <f t="shared" si="17"/>
        <v>0</v>
      </c>
      <c r="L44" s="278">
        <f t="shared" si="17"/>
        <v>0</v>
      </c>
      <c r="M44" s="278">
        <f t="shared" si="17"/>
        <v>0</v>
      </c>
      <c r="N44" s="278">
        <f t="shared" si="17"/>
        <v>0</v>
      </c>
      <c r="O44" s="278">
        <f t="shared" si="17"/>
        <v>0</v>
      </c>
    </row>
    <row r="45" spans="1:15" ht="65.25" customHeight="1">
      <c r="A45" s="264" t="s">
        <v>476</v>
      </c>
      <c r="B45" s="253" t="s">
        <v>473</v>
      </c>
      <c r="C45" s="279">
        <f aca="true" t="shared" si="18" ref="C45:O45">C35+C38+C41+C44</f>
        <v>8.3993258</v>
      </c>
      <c r="D45" s="279">
        <f t="shared" si="18"/>
        <v>1.6686710861432383</v>
      </c>
      <c r="E45" s="279">
        <f t="shared" si="18"/>
        <v>1.41722527271486</v>
      </c>
      <c r="F45" s="279">
        <f t="shared" si="18"/>
        <v>1.4277735535498963</v>
      </c>
      <c r="G45" s="279">
        <f t="shared" si="18"/>
        <v>0.2928833786219187</v>
      </c>
      <c r="H45" s="279">
        <f t="shared" si="18"/>
        <v>0</v>
      </c>
      <c r="I45" s="279">
        <f t="shared" si="18"/>
        <v>0</v>
      </c>
      <c r="J45" s="279">
        <f t="shared" si="18"/>
        <v>0</v>
      </c>
      <c r="K45" s="279">
        <f t="shared" si="18"/>
        <v>0</v>
      </c>
      <c r="L45" s="279">
        <f t="shared" si="18"/>
        <v>0</v>
      </c>
      <c r="M45" s="279">
        <f t="shared" si="18"/>
        <v>0.41062247221691556</v>
      </c>
      <c r="N45" s="279">
        <f t="shared" si="18"/>
        <v>1.476697789368771</v>
      </c>
      <c r="O45" s="279">
        <f t="shared" si="18"/>
        <v>1.7054522473844016</v>
      </c>
    </row>
    <row r="46" spans="1:15" ht="12.75">
      <c r="A46" s="268"/>
      <c r="B46" s="269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</row>
    <row r="47" spans="1:15" ht="12.75">
      <c r="A47" s="370" t="s">
        <v>379</v>
      </c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</row>
    <row r="48" spans="1:15" ht="12.75">
      <c r="A48" s="370" t="s">
        <v>43</v>
      </c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</row>
  </sheetData>
  <sheetProtection/>
  <mergeCells count="9">
    <mergeCell ref="A29:O29"/>
    <mergeCell ref="A47:O47"/>
    <mergeCell ref="A48:O48"/>
    <mergeCell ref="K1:O1"/>
    <mergeCell ref="A2:O2"/>
    <mergeCell ref="A3:O3"/>
    <mergeCell ref="C4:K4"/>
    <mergeCell ref="N4:O4"/>
    <mergeCell ref="A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O52"/>
  <sheetViews>
    <sheetView zoomScalePageLayoutView="0" workbookViewId="0" topLeftCell="A37">
      <selection activeCell="C14" sqref="C14"/>
    </sheetView>
  </sheetViews>
  <sheetFormatPr defaultColWidth="9.140625" defaultRowHeight="12.75"/>
  <cols>
    <col min="1" max="1" width="34.57421875" style="0" customWidth="1"/>
  </cols>
  <sheetData>
    <row r="1" spans="1:15" ht="1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372" t="s">
        <v>443</v>
      </c>
      <c r="L1" s="372"/>
      <c r="M1" s="372"/>
      <c r="N1" s="372"/>
      <c r="O1" s="372"/>
    </row>
    <row r="2" spans="1:15" ht="30" customHeight="1">
      <c r="A2" s="382" t="s">
        <v>485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ht="15">
      <c r="A3" s="371" t="s">
        <v>474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</row>
    <row r="4" spans="1:15" ht="15">
      <c r="A4" s="252"/>
      <c r="B4" s="252"/>
      <c r="C4" s="374" t="s">
        <v>445</v>
      </c>
      <c r="D4" s="374"/>
      <c r="E4" s="374"/>
      <c r="F4" s="374"/>
      <c r="G4" s="374"/>
      <c r="H4" s="374"/>
      <c r="I4" s="374"/>
      <c r="J4" s="374"/>
      <c r="K4" s="374"/>
      <c r="L4" s="252"/>
      <c r="M4" s="252"/>
      <c r="N4" s="375" t="s">
        <v>46</v>
      </c>
      <c r="O4" s="375"/>
    </row>
    <row r="5" spans="1:15" ht="38.25">
      <c r="A5" s="253" t="s">
        <v>154</v>
      </c>
      <c r="B5" s="254" t="s">
        <v>47</v>
      </c>
      <c r="C5" s="254" t="s">
        <v>446</v>
      </c>
      <c r="D5" s="254" t="s">
        <v>4</v>
      </c>
      <c r="E5" s="254" t="s">
        <v>5</v>
      </c>
      <c r="F5" s="254" t="s">
        <v>6</v>
      </c>
      <c r="G5" s="254" t="s">
        <v>7</v>
      </c>
      <c r="H5" s="254" t="s">
        <v>8</v>
      </c>
      <c r="I5" s="254" t="s">
        <v>9</v>
      </c>
      <c r="J5" s="254" t="s">
        <v>10</v>
      </c>
      <c r="K5" s="254" t="s">
        <v>11</v>
      </c>
      <c r="L5" s="254" t="s">
        <v>12</v>
      </c>
      <c r="M5" s="254" t="s">
        <v>13</v>
      </c>
      <c r="N5" s="254" t="s">
        <v>14</v>
      </c>
      <c r="O5" s="254" t="s">
        <v>15</v>
      </c>
    </row>
    <row r="6" spans="1:15" ht="12.75">
      <c r="A6" s="256">
        <v>1</v>
      </c>
      <c r="B6" s="254">
        <v>2</v>
      </c>
      <c r="C6" s="254">
        <v>3</v>
      </c>
      <c r="D6" s="254">
        <v>4</v>
      </c>
      <c r="E6" s="254">
        <v>5</v>
      </c>
      <c r="F6" s="254">
        <v>6</v>
      </c>
      <c r="G6" s="254">
        <v>7</v>
      </c>
      <c r="H6" s="254">
        <v>8</v>
      </c>
      <c r="I6" s="254">
        <v>9</v>
      </c>
      <c r="J6" s="254">
        <v>10</v>
      </c>
      <c r="K6" s="254">
        <v>11</v>
      </c>
      <c r="L6" s="254">
        <v>12</v>
      </c>
      <c r="M6" s="254">
        <v>13</v>
      </c>
      <c r="N6" s="254">
        <v>14</v>
      </c>
      <c r="O6" s="254">
        <v>15</v>
      </c>
    </row>
    <row r="7" spans="1:15" ht="12.75">
      <c r="A7" s="387" t="s">
        <v>447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9"/>
    </row>
    <row r="8" spans="1:15" ht="27" customHeight="1">
      <c r="A8" s="257" t="s">
        <v>448</v>
      </c>
      <c r="B8" s="254" t="s">
        <v>18</v>
      </c>
      <c r="C8" s="273">
        <f>SUM(D8:O8)</f>
        <v>49042.565</v>
      </c>
      <c r="D8" s="274">
        <v>11590.482</v>
      </c>
      <c r="E8" s="274">
        <v>9113.483</v>
      </c>
      <c r="F8" s="274">
        <v>7502.768</v>
      </c>
      <c r="G8" s="274">
        <v>991.467</v>
      </c>
      <c r="H8" s="274">
        <f>'Річний план общ'!K17</f>
        <v>0</v>
      </c>
      <c r="I8" s="274">
        <f>'Річний план общ'!L17</f>
        <v>0</v>
      </c>
      <c r="J8" s="274">
        <f>'Річний план общ'!M17</f>
        <v>0</v>
      </c>
      <c r="K8" s="274">
        <f>'Річний план общ'!N17</f>
        <v>0</v>
      </c>
      <c r="L8" s="274">
        <f>'Річний план общ'!O17</f>
        <v>0</v>
      </c>
      <c r="M8" s="274">
        <v>2053.037</v>
      </c>
      <c r="N8" s="274">
        <v>8011.855</v>
      </c>
      <c r="O8" s="274">
        <v>9779.473</v>
      </c>
    </row>
    <row r="9" spans="1:15" ht="28.5" customHeight="1">
      <c r="A9" s="257" t="s">
        <v>191</v>
      </c>
      <c r="B9" s="254" t="s">
        <v>475</v>
      </c>
      <c r="C9" s="275">
        <v>24.9</v>
      </c>
      <c r="D9" s="275">
        <v>24.9</v>
      </c>
      <c r="E9" s="275">
        <v>24.9</v>
      </c>
      <c r="F9" s="275">
        <v>24.9</v>
      </c>
      <c r="G9" s="275">
        <v>24.9</v>
      </c>
      <c r="H9" s="275">
        <v>24.9</v>
      </c>
      <c r="I9" s="275">
        <v>24.9</v>
      </c>
      <c r="J9" s="275">
        <v>24.9</v>
      </c>
      <c r="K9" s="275">
        <v>24.9</v>
      </c>
      <c r="L9" s="275">
        <v>24.9</v>
      </c>
      <c r="M9" s="275">
        <v>24.9</v>
      </c>
      <c r="N9" s="275">
        <v>24.9</v>
      </c>
      <c r="O9" s="275">
        <v>24.9</v>
      </c>
    </row>
    <row r="10" spans="1:15" ht="12.75">
      <c r="A10" s="257"/>
      <c r="B10" s="254"/>
      <c r="C10" s="274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</row>
    <row r="11" spans="1:15" ht="33" customHeight="1">
      <c r="A11" s="257" t="s">
        <v>192</v>
      </c>
      <c r="B11" s="254" t="s">
        <v>193</v>
      </c>
      <c r="C11" s="273">
        <f>SUM(D11:O11)</f>
        <v>526.8084999999999</v>
      </c>
      <c r="D11" s="273">
        <f>D15</f>
        <v>113.0693</v>
      </c>
      <c r="E11" s="273">
        <f>E15</f>
        <v>104.7802</v>
      </c>
      <c r="F11" s="273">
        <f>F15</f>
        <v>79.4727</v>
      </c>
      <c r="G11" s="273">
        <f>G15</f>
        <v>16.632</v>
      </c>
      <c r="H11" s="273">
        <f>H8*H9/1000</f>
        <v>0</v>
      </c>
      <c r="I11" s="273">
        <f>I8*I9/1000</f>
        <v>0</v>
      </c>
      <c r="J11" s="273">
        <f>J8*J9/1000</f>
        <v>0</v>
      </c>
      <c r="K11" s="273">
        <f>K8*K9/1000</f>
        <v>0</v>
      </c>
      <c r="L11" s="273">
        <f>L8*L9/1000</f>
        <v>0</v>
      </c>
      <c r="M11" s="273">
        <f>M15</f>
        <v>24.578</v>
      </c>
      <c r="N11" s="273">
        <f>N15</f>
        <v>77.349</v>
      </c>
      <c r="O11" s="273">
        <f>O15</f>
        <v>110.9273</v>
      </c>
    </row>
    <row r="12" spans="1:15" ht="26.25" customHeight="1">
      <c r="A12" s="257" t="s">
        <v>482</v>
      </c>
      <c r="B12" s="254" t="s">
        <v>193</v>
      </c>
      <c r="C12" s="273">
        <f>C15</f>
        <v>526.8084999999999</v>
      </c>
      <c r="D12" s="273">
        <f>D11</f>
        <v>113.0693</v>
      </c>
      <c r="E12" s="273">
        <f aca="true" t="shared" si="0" ref="E12:O12">E11</f>
        <v>104.7802</v>
      </c>
      <c r="F12" s="273">
        <f t="shared" si="0"/>
        <v>79.4727</v>
      </c>
      <c r="G12" s="273">
        <f t="shared" si="0"/>
        <v>16.632</v>
      </c>
      <c r="H12" s="273">
        <f t="shared" si="0"/>
        <v>0</v>
      </c>
      <c r="I12" s="273">
        <f t="shared" si="0"/>
        <v>0</v>
      </c>
      <c r="J12" s="273">
        <f t="shared" si="0"/>
        <v>0</v>
      </c>
      <c r="K12" s="273">
        <f t="shared" si="0"/>
        <v>0</v>
      </c>
      <c r="L12" s="273">
        <f t="shared" si="0"/>
        <v>0</v>
      </c>
      <c r="M12" s="273">
        <f t="shared" si="0"/>
        <v>24.578</v>
      </c>
      <c r="N12" s="273">
        <f t="shared" si="0"/>
        <v>77.349</v>
      </c>
      <c r="O12" s="273">
        <f t="shared" si="0"/>
        <v>110.9273</v>
      </c>
    </row>
    <row r="13" spans="1:15" ht="24" customHeight="1">
      <c r="A13" s="257" t="s">
        <v>479</v>
      </c>
      <c r="B13" s="254" t="s">
        <v>449</v>
      </c>
      <c r="C13" s="276">
        <v>82.039</v>
      </c>
      <c r="D13" s="276">
        <v>82.039</v>
      </c>
      <c r="E13" s="276">
        <v>82.039</v>
      </c>
      <c r="F13" s="276">
        <v>82.039</v>
      </c>
      <c r="G13" s="276">
        <v>82.039</v>
      </c>
      <c r="H13" s="276">
        <v>82.039</v>
      </c>
      <c r="I13" s="276">
        <v>82.039</v>
      </c>
      <c r="J13" s="276">
        <v>82.039</v>
      </c>
      <c r="K13" s="276">
        <v>82.039</v>
      </c>
      <c r="L13" s="276">
        <v>82.039</v>
      </c>
      <c r="M13" s="276">
        <v>82.039</v>
      </c>
      <c r="N13" s="276">
        <v>82.039</v>
      </c>
      <c r="O13" s="276">
        <v>82.039</v>
      </c>
    </row>
    <row r="14" spans="1:15" ht="24.75" customHeight="1">
      <c r="A14" s="271" t="s">
        <v>480</v>
      </c>
      <c r="B14" s="272" t="s">
        <v>53</v>
      </c>
      <c r="C14" s="258">
        <f>SUM(D14:O14)</f>
        <v>432.18842531499996</v>
      </c>
      <c r="D14" s="258">
        <f>D12*D13/100</f>
        <v>92.760923027</v>
      </c>
      <c r="E14" s="258">
        <f aca="true" t="shared" si="1" ref="E14:O14">E12*E13/100</f>
        <v>85.960628278</v>
      </c>
      <c r="F14" s="258">
        <f t="shared" si="1"/>
        <v>65.198608353</v>
      </c>
      <c r="G14" s="258">
        <f t="shared" si="1"/>
        <v>13.644726480000001</v>
      </c>
      <c r="H14" s="258">
        <f t="shared" si="1"/>
        <v>0</v>
      </c>
      <c r="I14" s="258">
        <f t="shared" si="1"/>
        <v>0</v>
      </c>
      <c r="J14" s="258">
        <f t="shared" si="1"/>
        <v>0</v>
      </c>
      <c r="K14" s="258">
        <f t="shared" si="1"/>
        <v>0</v>
      </c>
      <c r="L14" s="258">
        <f t="shared" si="1"/>
        <v>0</v>
      </c>
      <c r="M14" s="258">
        <f t="shared" si="1"/>
        <v>20.163545420000002</v>
      </c>
      <c r="N14" s="258">
        <f t="shared" si="1"/>
        <v>63.456346110000005</v>
      </c>
      <c r="O14" s="258">
        <f t="shared" si="1"/>
        <v>91.003647647</v>
      </c>
    </row>
    <row r="15" spans="1:15" ht="30.75" customHeight="1">
      <c r="A15" s="257" t="s">
        <v>450</v>
      </c>
      <c r="B15" s="254" t="s">
        <v>193</v>
      </c>
      <c r="C15" s="273">
        <f>SUM(D15:O15)</f>
        <v>526.8084999999999</v>
      </c>
      <c r="D15" s="273">
        <v>113.0693</v>
      </c>
      <c r="E15" s="273">
        <v>104.7802</v>
      </c>
      <c r="F15" s="273">
        <v>79.4727</v>
      </c>
      <c r="G15" s="273">
        <v>16.632</v>
      </c>
      <c r="H15" s="273">
        <f>H11-H12</f>
        <v>0</v>
      </c>
      <c r="I15" s="273">
        <f>I11-I12</f>
        <v>0</v>
      </c>
      <c r="J15" s="273">
        <f>J11-J12</f>
        <v>0</v>
      </c>
      <c r="K15" s="273">
        <f>K11-K12</f>
        <v>0</v>
      </c>
      <c r="L15" s="273">
        <f>L11-L12</f>
        <v>0</v>
      </c>
      <c r="M15" s="273">
        <v>24.578</v>
      </c>
      <c r="N15" s="273">
        <v>77.349</v>
      </c>
      <c r="O15" s="273">
        <v>110.9273</v>
      </c>
    </row>
    <row r="16" spans="1:15" ht="22.5" customHeight="1">
      <c r="A16" s="257" t="s">
        <v>194</v>
      </c>
      <c r="B16" s="254" t="s">
        <v>449</v>
      </c>
      <c r="C16" s="276">
        <v>175.6888</v>
      </c>
      <c r="D16" s="277">
        <f>C16</f>
        <v>175.6888</v>
      </c>
      <c r="E16" s="277">
        <f aca="true" t="shared" si="2" ref="E16:O16">D16</f>
        <v>175.6888</v>
      </c>
      <c r="F16" s="277">
        <f t="shared" si="2"/>
        <v>175.6888</v>
      </c>
      <c r="G16" s="277">
        <f t="shared" si="2"/>
        <v>175.6888</v>
      </c>
      <c r="H16" s="277">
        <f t="shared" si="2"/>
        <v>175.6888</v>
      </c>
      <c r="I16" s="277">
        <f t="shared" si="2"/>
        <v>175.6888</v>
      </c>
      <c r="J16" s="277">
        <f t="shared" si="2"/>
        <v>175.6888</v>
      </c>
      <c r="K16" s="277">
        <f t="shared" si="2"/>
        <v>175.6888</v>
      </c>
      <c r="L16" s="277">
        <f t="shared" si="2"/>
        <v>175.6888</v>
      </c>
      <c r="M16" s="277">
        <f t="shared" si="2"/>
        <v>175.6888</v>
      </c>
      <c r="N16" s="277">
        <f t="shared" si="2"/>
        <v>175.6888</v>
      </c>
      <c r="O16" s="277">
        <f t="shared" si="2"/>
        <v>175.6888</v>
      </c>
    </row>
    <row r="17" spans="1:15" ht="29.25" customHeight="1">
      <c r="A17" s="271" t="s">
        <v>451</v>
      </c>
      <c r="B17" s="272" t="s">
        <v>53</v>
      </c>
      <c r="C17" s="258">
        <f>SUM(D17:O17)</f>
        <v>925.5435319479999</v>
      </c>
      <c r="D17" s="258">
        <f>D15*D16/100</f>
        <v>198.6500963384</v>
      </c>
      <c r="E17" s="258">
        <f aca="true" t="shared" si="3" ref="E17:O17">E15*E16/100</f>
        <v>184.08707601759997</v>
      </c>
      <c r="F17" s="258">
        <f t="shared" si="3"/>
        <v>139.6246329576</v>
      </c>
      <c r="G17" s="258">
        <f t="shared" si="3"/>
        <v>29.220561216</v>
      </c>
      <c r="H17" s="258">
        <f t="shared" si="3"/>
        <v>0</v>
      </c>
      <c r="I17" s="258">
        <f t="shared" si="3"/>
        <v>0</v>
      </c>
      <c r="J17" s="258">
        <f t="shared" si="3"/>
        <v>0</v>
      </c>
      <c r="K17" s="258">
        <f t="shared" si="3"/>
        <v>0</v>
      </c>
      <c r="L17" s="258">
        <f t="shared" si="3"/>
        <v>0</v>
      </c>
      <c r="M17" s="258">
        <f t="shared" si="3"/>
        <v>43.180793263999995</v>
      </c>
      <c r="N17" s="258">
        <f t="shared" si="3"/>
        <v>135.893529912</v>
      </c>
      <c r="O17" s="258">
        <f t="shared" si="3"/>
        <v>194.88684224239998</v>
      </c>
    </row>
    <row r="18" spans="1:15" ht="30" customHeight="1">
      <c r="A18" s="257" t="s">
        <v>452</v>
      </c>
      <c r="B18" s="254" t="s">
        <v>193</v>
      </c>
      <c r="C18" s="259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0">
        <v>0</v>
      </c>
      <c r="L18" s="260">
        <v>0</v>
      </c>
      <c r="M18" s="260">
        <v>0</v>
      </c>
      <c r="N18" s="260">
        <v>0</v>
      </c>
      <c r="O18" s="260">
        <v>0</v>
      </c>
    </row>
    <row r="19" spans="1:15" ht="30" customHeight="1">
      <c r="A19" s="257" t="s">
        <v>453</v>
      </c>
      <c r="B19" s="254" t="s">
        <v>449</v>
      </c>
      <c r="C19" s="259">
        <v>0</v>
      </c>
      <c r="D19" s="260">
        <v>0</v>
      </c>
      <c r="E19" s="260">
        <v>0</v>
      </c>
      <c r="F19" s="260">
        <v>0</v>
      </c>
      <c r="G19" s="260">
        <v>0</v>
      </c>
      <c r="H19" s="260">
        <v>0</v>
      </c>
      <c r="I19" s="260">
        <v>0</v>
      </c>
      <c r="J19" s="260">
        <v>0</v>
      </c>
      <c r="K19" s="260">
        <v>0</v>
      </c>
      <c r="L19" s="260">
        <v>0</v>
      </c>
      <c r="M19" s="260">
        <v>0</v>
      </c>
      <c r="N19" s="260">
        <v>0</v>
      </c>
      <c r="O19" s="260">
        <v>0</v>
      </c>
    </row>
    <row r="20" spans="1:15" ht="27.75" customHeight="1">
      <c r="A20" s="257" t="s">
        <v>454</v>
      </c>
      <c r="B20" s="254" t="s">
        <v>53</v>
      </c>
      <c r="C20" s="259">
        <v>0</v>
      </c>
      <c r="D20" s="260">
        <v>0</v>
      </c>
      <c r="E20" s="260">
        <v>0</v>
      </c>
      <c r="F20" s="260">
        <v>0</v>
      </c>
      <c r="G20" s="260">
        <v>0</v>
      </c>
      <c r="H20" s="260">
        <v>0</v>
      </c>
      <c r="I20" s="260">
        <v>0</v>
      </c>
      <c r="J20" s="260">
        <v>0</v>
      </c>
      <c r="K20" s="260">
        <v>0</v>
      </c>
      <c r="L20" s="260">
        <v>0</v>
      </c>
      <c r="M20" s="260">
        <v>0</v>
      </c>
      <c r="N20" s="260">
        <v>0</v>
      </c>
      <c r="O20" s="260">
        <v>0</v>
      </c>
    </row>
    <row r="21" spans="1:15" ht="27.75" customHeight="1">
      <c r="A21" s="257" t="s">
        <v>455</v>
      </c>
      <c r="B21" s="254" t="s">
        <v>53</v>
      </c>
      <c r="C21" s="261">
        <f>C14+C17</f>
        <v>1357.731957263</v>
      </c>
      <c r="D21" s="261">
        <f aca="true" t="shared" si="4" ref="D21:O21">D14+D17</f>
        <v>291.4110193654</v>
      </c>
      <c r="E21" s="261">
        <f t="shared" si="4"/>
        <v>270.04770429559994</v>
      </c>
      <c r="F21" s="261">
        <f t="shared" si="4"/>
        <v>204.8232413106</v>
      </c>
      <c r="G21" s="261">
        <f t="shared" si="4"/>
        <v>42.865287696</v>
      </c>
      <c r="H21" s="261">
        <f t="shared" si="4"/>
        <v>0</v>
      </c>
      <c r="I21" s="261">
        <f t="shared" si="4"/>
        <v>0</v>
      </c>
      <c r="J21" s="261">
        <f t="shared" si="4"/>
        <v>0</v>
      </c>
      <c r="K21" s="261">
        <f t="shared" si="4"/>
        <v>0</v>
      </c>
      <c r="L21" s="261">
        <f t="shared" si="4"/>
        <v>0</v>
      </c>
      <c r="M21" s="261">
        <f t="shared" si="4"/>
        <v>63.34433868399999</v>
      </c>
      <c r="N21" s="261">
        <f t="shared" si="4"/>
        <v>199.349876022</v>
      </c>
      <c r="O21" s="261">
        <f t="shared" si="4"/>
        <v>285.8904898894</v>
      </c>
    </row>
    <row r="22" spans="1:15" ht="36.75" customHeight="1">
      <c r="A22" s="257" t="s">
        <v>456</v>
      </c>
      <c r="B22" s="254" t="s">
        <v>457</v>
      </c>
      <c r="C22" s="273">
        <f>SUM(D22:O22)</f>
        <v>46.119040000000005</v>
      </c>
      <c r="D22" s="262">
        <f>22.666*44%</f>
        <v>9.973040000000001</v>
      </c>
      <c r="E22" s="262">
        <f>17.881*44%</f>
        <v>7.86764</v>
      </c>
      <c r="F22" s="262">
        <f>16.946*44%</f>
        <v>7.456240000000001</v>
      </c>
      <c r="G22" s="262">
        <f>3.945*44%</f>
        <v>1.7358</v>
      </c>
      <c r="H22" s="262">
        <f>0.324*44%</f>
        <v>0.14256</v>
      </c>
      <c r="I22" s="262">
        <f>0.071*44%</f>
        <v>0.031239999999999997</v>
      </c>
      <c r="J22" s="262">
        <f>0.342*44%</f>
        <v>0.15048</v>
      </c>
      <c r="K22" s="262">
        <f>0.322*44%</f>
        <v>0.14168</v>
      </c>
      <c r="L22" s="262">
        <f>0.388*44%</f>
        <v>0.17072</v>
      </c>
      <c r="M22" s="262">
        <f>0.823*44%</f>
        <v>0.36212</v>
      </c>
      <c r="N22" s="262">
        <f>18.884*44%</f>
        <v>8.30896</v>
      </c>
      <c r="O22" s="262">
        <f>22.224*44%</f>
        <v>9.77856</v>
      </c>
    </row>
    <row r="23" spans="1:15" ht="30" customHeight="1">
      <c r="A23" s="257" t="s">
        <v>458</v>
      </c>
      <c r="B23" s="254" t="s">
        <v>459</v>
      </c>
      <c r="C23" s="263">
        <v>142.004</v>
      </c>
      <c r="D23" s="263">
        <v>142.004</v>
      </c>
      <c r="E23" s="263">
        <v>142.004</v>
      </c>
      <c r="F23" s="263">
        <v>142.004</v>
      </c>
      <c r="G23" s="263">
        <v>142.004</v>
      </c>
      <c r="H23" s="263">
        <v>142.004</v>
      </c>
      <c r="I23" s="263">
        <v>142.004</v>
      </c>
      <c r="J23" s="263">
        <v>142.004</v>
      </c>
      <c r="K23" s="263">
        <v>142.004</v>
      </c>
      <c r="L23" s="263">
        <v>142.004</v>
      </c>
      <c r="M23" s="263">
        <v>142.004</v>
      </c>
      <c r="N23" s="263">
        <v>142.004</v>
      </c>
      <c r="O23" s="263">
        <v>142.004</v>
      </c>
    </row>
    <row r="24" spans="1:15" ht="30.75" customHeight="1">
      <c r="A24" s="271" t="s">
        <v>460</v>
      </c>
      <c r="B24" s="272" t="s">
        <v>53</v>
      </c>
      <c r="C24" s="258">
        <f>C22*C23/100</f>
        <v>65.4908815616</v>
      </c>
      <c r="D24" s="258">
        <f aca="true" t="shared" si="5" ref="D24:O24">D22*D23/100</f>
        <v>14.162115721600001</v>
      </c>
      <c r="E24" s="258">
        <f t="shared" si="5"/>
        <v>11.172363505599998</v>
      </c>
      <c r="F24" s="258">
        <f t="shared" si="5"/>
        <v>10.588159049600002</v>
      </c>
      <c r="G24" s="258">
        <f t="shared" si="5"/>
        <v>2.464905432</v>
      </c>
      <c r="H24" s="258">
        <f t="shared" si="5"/>
        <v>0.20244090239999998</v>
      </c>
      <c r="I24" s="258">
        <f t="shared" si="5"/>
        <v>0.044362049599999995</v>
      </c>
      <c r="J24" s="258">
        <f t="shared" si="5"/>
        <v>0.2136876192</v>
      </c>
      <c r="K24" s="258">
        <f t="shared" si="5"/>
        <v>0.20119126719999997</v>
      </c>
      <c r="L24" s="258">
        <f t="shared" si="5"/>
        <v>0.24242922879999998</v>
      </c>
      <c r="M24" s="258">
        <f t="shared" si="5"/>
        <v>0.5142248848</v>
      </c>
      <c r="N24" s="258">
        <f t="shared" si="5"/>
        <v>11.799055558400001</v>
      </c>
      <c r="O24" s="258">
        <f t="shared" si="5"/>
        <v>13.8859463424</v>
      </c>
    </row>
    <row r="25" spans="1:15" ht="27" customHeight="1">
      <c r="A25" s="257" t="s">
        <v>461</v>
      </c>
      <c r="B25" s="254" t="s">
        <v>462</v>
      </c>
      <c r="C25" s="256">
        <f>SUM(D25:O25)</f>
        <v>0.17820000000000003</v>
      </c>
      <c r="D25" s="256">
        <f>0.044*44%</f>
        <v>0.01936</v>
      </c>
      <c r="E25" s="256">
        <f>0.075*44%</f>
        <v>0.033</v>
      </c>
      <c r="F25" s="256">
        <f>0.095*44%</f>
        <v>0.041800000000000004</v>
      </c>
      <c r="G25" s="256">
        <f>0.035*44%</f>
        <v>0.015400000000000002</v>
      </c>
      <c r="H25" s="256">
        <f>0.016*44%</f>
        <v>0.00704</v>
      </c>
      <c r="I25" s="256">
        <f>0.004*44%</f>
        <v>0.00176</v>
      </c>
      <c r="J25" s="256">
        <f>0.022*44%</f>
        <v>0.00968</v>
      </c>
      <c r="K25" s="256">
        <f>0.019*44%</f>
        <v>0.00836</v>
      </c>
      <c r="L25" s="256">
        <f>0.008*44%</f>
        <v>0.00352</v>
      </c>
      <c r="M25" s="256">
        <f>0.002*44%</f>
        <v>0.00088</v>
      </c>
      <c r="N25" s="256">
        <f>0.045*44%</f>
        <v>0.019799999999999998</v>
      </c>
      <c r="O25" s="256">
        <f>0.04*44%</f>
        <v>0.0176</v>
      </c>
    </row>
    <row r="26" spans="1:15" ht="27" customHeight="1">
      <c r="A26" s="257" t="s">
        <v>463</v>
      </c>
      <c r="B26" s="254" t="s">
        <v>459</v>
      </c>
      <c r="C26" s="256">
        <f>C23</f>
        <v>142.004</v>
      </c>
      <c r="D26" s="256">
        <f aca="true" t="shared" si="6" ref="D26:O26">D23</f>
        <v>142.004</v>
      </c>
      <c r="E26" s="256">
        <f t="shared" si="6"/>
        <v>142.004</v>
      </c>
      <c r="F26" s="256">
        <f t="shared" si="6"/>
        <v>142.004</v>
      </c>
      <c r="G26" s="256">
        <f t="shared" si="6"/>
        <v>142.004</v>
      </c>
      <c r="H26" s="256">
        <f t="shared" si="6"/>
        <v>142.004</v>
      </c>
      <c r="I26" s="256">
        <f t="shared" si="6"/>
        <v>142.004</v>
      </c>
      <c r="J26" s="256">
        <f t="shared" si="6"/>
        <v>142.004</v>
      </c>
      <c r="K26" s="256">
        <f t="shared" si="6"/>
        <v>142.004</v>
      </c>
      <c r="L26" s="256">
        <f t="shared" si="6"/>
        <v>142.004</v>
      </c>
      <c r="M26" s="256">
        <f t="shared" si="6"/>
        <v>142.004</v>
      </c>
      <c r="N26" s="256">
        <f t="shared" si="6"/>
        <v>142.004</v>
      </c>
      <c r="O26" s="256">
        <f t="shared" si="6"/>
        <v>142.004</v>
      </c>
    </row>
    <row r="27" spans="1:15" ht="37.5" customHeight="1">
      <c r="A27" s="271" t="s">
        <v>464</v>
      </c>
      <c r="B27" s="272" t="s">
        <v>53</v>
      </c>
      <c r="C27" s="278">
        <f>C25*C26/100</f>
        <v>0.253051128</v>
      </c>
      <c r="D27" s="278">
        <f aca="true" t="shared" si="7" ref="D27:O27">D25*D26/100</f>
        <v>0.027491974399999997</v>
      </c>
      <c r="E27" s="278">
        <f t="shared" si="7"/>
        <v>0.04686132</v>
      </c>
      <c r="F27" s="278">
        <f t="shared" si="7"/>
        <v>0.059357672</v>
      </c>
      <c r="G27" s="278">
        <f t="shared" si="7"/>
        <v>0.021868616000000004</v>
      </c>
      <c r="H27" s="278">
        <f t="shared" si="7"/>
        <v>0.009997081599999999</v>
      </c>
      <c r="I27" s="278">
        <f t="shared" si="7"/>
        <v>0.0024992703999999998</v>
      </c>
      <c r="J27" s="278">
        <f t="shared" si="7"/>
        <v>0.013745987199999999</v>
      </c>
      <c r="K27" s="278">
        <f t="shared" si="7"/>
        <v>0.0118715344</v>
      </c>
      <c r="L27" s="278">
        <f t="shared" si="7"/>
        <v>0.0049985407999999995</v>
      </c>
      <c r="M27" s="278">
        <f t="shared" si="7"/>
        <v>0.0012496351999999999</v>
      </c>
      <c r="N27" s="278">
        <f t="shared" si="7"/>
        <v>0.028116791999999995</v>
      </c>
      <c r="O27" s="278">
        <f t="shared" si="7"/>
        <v>0.024992703999999998</v>
      </c>
    </row>
    <row r="28" spans="1:15" ht="43.5" customHeight="1">
      <c r="A28" s="264" t="s">
        <v>481</v>
      </c>
      <c r="B28" s="253" t="s">
        <v>53</v>
      </c>
      <c r="C28" s="279">
        <f>C14+C17+C24+C27</f>
        <v>1423.4758899525998</v>
      </c>
      <c r="D28" s="279">
        <f aca="true" t="shared" si="8" ref="D28:O28">D14+D17+D24+D27</f>
        <v>305.6006270614</v>
      </c>
      <c r="E28" s="279">
        <f t="shared" si="8"/>
        <v>281.26692912119995</v>
      </c>
      <c r="F28" s="279">
        <f t="shared" si="8"/>
        <v>215.4707580322</v>
      </c>
      <c r="G28" s="279">
        <f t="shared" si="8"/>
        <v>45.352061744000004</v>
      </c>
      <c r="H28" s="279">
        <f t="shared" si="8"/>
        <v>0.21243798399999997</v>
      </c>
      <c r="I28" s="279">
        <f t="shared" si="8"/>
        <v>0.04686132</v>
      </c>
      <c r="J28" s="279">
        <f t="shared" si="8"/>
        <v>0.22743360640000002</v>
      </c>
      <c r="K28" s="279">
        <f t="shared" si="8"/>
        <v>0.21306280159999996</v>
      </c>
      <c r="L28" s="279">
        <f t="shared" si="8"/>
        <v>0.24742776959999999</v>
      </c>
      <c r="M28" s="279">
        <f t="shared" si="8"/>
        <v>63.85981320399999</v>
      </c>
      <c r="N28" s="279">
        <f t="shared" si="8"/>
        <v>211.17704837239998</v>
      </c>
      <c r="O28" s="279">
        <f t="shared" si="8"/>
        <v>299.8014289358</v>
      </c>
    </row>
    <row r="29" spans="1:15" ht="12.75">
      <c r="A29" s="384" t="s">
        <v>465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6"/>
    </row>
    <row r="30" spans="1:15" ht="31.5" customHeight="1">
      <c r="A30" s="257" t="s">
        <v>466</v>
      </c>
      <c r="B30" s="254" t="s">
        <v>467</v>
      </c>
      <c r="C30" s="266">
        <f>C8</f>
        <v>49042.565</v>
      </c>
      <c r="D30" s="266">
        <f aca="true" t="shared" si="9" ref="D30:O30">D8</f>
        <v>11590.482</v>
      </c>
      <c r="E30" s="266">
        <f t="shared" si="9"/>
        <v>9113.483</v>
      </c>
      <c r="F30" s="266">
        <f t="shared" si="9"/>
        <v>7502.768</v>
      </c>
      <c r="G30" s="266">
        <f t="shared" si="9"/>
        <v>991.467</v>
      </c>
      <c r="H30" s="266">
        <f t="shared" si="9"/>
        <v>0</v>
      </c>
      <c r="I30" s="266">
        <f t="shared" si="9"/>
        <v>0</v>
      </c>
      <c r="J30" s="266">
        <f t="shared" si="9"/>
        <v>0</v>
      </c>
      <c r="K30" s="266">
        <f t="shared" si="9"/>
        <v>0</v>
      </c>
      <c r="L30" s="266">
        <f t="shared" si="9"/>
        <v>0</v>
      </c>
      <c r="M30" s="266">
        <f t="shared" si="9"/>
        <v>2053.037</v>
      </c>
      <c r="N30" s="266">
        <f t="shared" si="9"/>
        <v>8011.855</v>
      </c>
      <c r="O30" s="266">
        <f t="shared" si="9"/>
        <v>9779.473</v>
      </c>
    </row>
    <row r="31" spans="1:15" ht="29.25" customHeight="1">
      <c r="A31" s="257" t="s">
        <v>468</v>
      </c>
      <c r="B31" s="254" t="s">
        <v>469</v>
      </c>
      <c r="C31" s="256">
        <v>24.9</v>
      </c>
      <c r="D31" s="256">
        <v>24.9</v>
      </c>
      <c r="E31" s="256">
        <v>24.9</v>
      </c>
      <c r="F31" s="256">
        <v>24.9</v>
      </c>
      <c r="G31" s="256">
        <v>24.9</v>
      </c>
      <c r="H31" s="256">
        <v>24.9</v>
      </c>
      <c r="I31" s="256">
        <v>24.9</v>
      </c>
      <c r="J31" s="256">
        <v>24.9</v>
      </c>
      <c r="K31" s="256">
        <v>24.9</v>
      </c>
      <c r="L31" s="256">
        <v>24.9</v>
      </c>
      <c r="M31" s="256">
        <v>24.9</v>
      </c>
      <c r="N31" s="256">
        <v>24.9</v>
      </c>
      <c r="O31" s="256">
        <v>24.9</v>
      </c>
    </row>
    <row r="32" spans="1:15" ht="37.5" customHeight="1">
      <c r="A32" s="257" t="s">
        <v>470</v>
      </c>
      <c r="B32" s="254" t="s">
        <v>471</v>
      </c>
      <c r="C32" s="266">
        <f>SUM(D32:O32)</f>
        <v>680.4624</v>
      </c>
      <c r="D32" s="256">
        <f>D36</f>
        <v>135.2126</v>
      </c>
      <c r="E32" s="256">
        <f aca="true" t="shared" si="10" ref="E32:O32">E36</f>
        <v>114.817</v>
      </c>
      <c r="F32" s="256">
        <f t="shared" si="10"/>
        <v>115.6362</v>
      </c>
      <c r="G32" s="256">
        <f t="shared" si="10"/>
        <v>23.726</v>
      </c>
      <c r="H32" s="256">
        <f t="shared" si="10"/>
        <v>0</v>
      </c>
      <c r="I32" s="256">
        <f t="shared" si="10"/>
        <v>0</v>
      </c>
      <c r="J32" s="256">
        <f t="shared" si="10"/>
        <v>0</v>
      </c>
      <c r="K32" s="256">
        <f t="shared" si="10"/>
        <v>0</v>
      </c>
      <c r="L32" s="256">
        <f t="shared" si="10"/>
        <v>0</v>
      </c>
      <c r="M32" s="256">
        <f t="shared" si="10"/>
        <v>33.243</v>
      </c>
      <c r="N32" s="256">
        <f t="shared" si="10"/>
        <v>119.625</v>
      </c>
      <c r="O32" s="256">
        <f t="shared" si="10"/>
        <v>138.2026</v>
      </c>
    </row>
    <row r="33" spans="1:15" ht="32.25" customHeight="1">
      <c r="A33" s="257" t="s">
        <v>482</v>
      </c>
      <c r="B33" s="254" t="s">
        <v>471</v>
      </c>
      <c r="C33" s="266">
        <f>C32</f>
        <v>680.4624</v>
      </c>
      <c r="D33" s="256">
        <f>D32</f>
        <v>135.2126</v>
      </c>
      <c r="E33" s="256">
        <f aca="true" t="shared" si="11" ref="E33:O33">E32</f>
        <v>114.817</v>
      </c>
      <c r="F33" s="256">
        <f t="shared" si="11"/>
        <v>115.6362</v>
      </c>
      <c r="G33" s="256">
        <f t="shared" si="11"/>
        <v>23.726</v>
      </c>
      <c r="H33" s="256">
        <f t="shared" si="11"/>
        <v>0</v>
      </c>
      <c r="I33" s="256">
        <f t="shared" si="11"/>
        <v>0</v>
      </c>
      <c r="J33" s="256">
        <f t="shared" si="11"/>
        <v>0</v>
      </c>
      <c r="K33" s="256">
        <f t="shared" si="11"/>
        <v>0</v>
      </c>
      <c r="L33" s="256">
        <f t="shared" si="11"/>
        <v>0</v>
      </c>
      <c r="M33" s="256">
        <f t="shared" si="11"/>
        <v>33.243</v>
      </c>
      <c r="N33" s="256">
        <f t="shared" si="11"/>
        <v>119.625</v>
      </c>
      <c r="O33" s="256">
        <f t="shared" si="11"/>
        <v>138.2026</v>
      </c>
    </row>
    <row r="34" spans="1:15" ht="25.5" customHeight="1">
      <c r="A34" s="257" t="s">
        <v>479</v>
      </c>
      <c r="B34" s="254" t="s">
        <v>472</v>
      </c>
      <c r="C34" s="256">
        <f>C13</f>
        <v>82.039</v>
      </c>
      <c r="D34" s="256">
        <f aca="true" t="shared" si="12" ref="D34:O34">D13</f>
        <v>82.039</v>
      </c>
      <c r="E34" s="256">
        <f t="shared" si="12"/>
        <v>82.039</v>
      </c>
      <c r="F34" s="256">
        <f t="shared" si="12"/>
        <v>82.039</v>
      </c>
      <c r="G34" s="256">
        <f t="shared" si="12"/>
        <v>82.039</v>
      </c>
      <c r="H34" s="256">
        <f t="shared" si="12"/>
        <v>82.039</v>
      </c>
      <c r="I34" s="256">
        <f t="shared" si="12"/>
        <v>82.039</v>
      </c>
      <c r="J34" s="256">
        <f t="shared" si="12"/>
        <v>82.039</v>
      </c>
      <c r="K34" s="256">
        <f t="shared" si="12"/>
        <v>82.039</v>
      </c>
      <c r="L34" s="256">
        <f t="shared" si="12"/>
        <v>82.039</v>
      </c>
      <c r="M34" s="256">
        <f t="shared" si="12"/>
        <v>82.039</v>
      </c>
      <c r="N34" s="256">
        <f t="shared" si="12"/>
        <v>82.039</v>
      </c>
      <c r="O34" s="256">
        <f t="shared" si="12"/>
        <v>82.039</v>
      </c>
    </row>
    <row r="35" spans="1:15" ht="27.75" customHeight="1">
      <c r="A35" s="271" t="s">
        <v>480</v>
      </c>
      <c r="B35" s="272" t="s">
        <v>473</v>
      </c>
      <c r="C35" s="258">
        <f>C33*C34/100</f>
        <v>558.244548336</v>
      </c>
      <c r="D35" s="258">
        <f aca="true" t="shared" si="13" ref="D35:O35">D33*D34/100</f>
        <v>110.927064914</v>
      </c>
      <c r="E35" s="258">
        <f t="shared" si="13"/>
        <v>94.19471862999998</v>
      </c>
      <c r="F35" s="258">
        <f t="shared" si="13"/>
        <v>94.866782118</v>
      </c>
      <c r="G35" s="258">
        <f t="shared" si="13"/>
        <v>19.46457314</v>
      </c>
      <c r="H35" s="258">
        <f t="shared" si="13"/>
        <v>0</v>
      </c>
      <c r="I35" s="258">
        <f t="shared" si="13"/>
        <v>0</v>
      </c>
      <c r="J35" s="258">
        <f t="shared" si="13"/>
        <v>0</v>
      </c>
      <c r="K35" s="258">
        <f t="shared" si="13"/>
        <v>0</v>
      </c>
      <c r="L35" s="258">
        <f t="shared" si="13"/>
        <v>0</v>
      </c>
      <c r="M35" s="258">
        <f t="shared" si="13"/>
        <v>27.27222477</v>
      </c>
      <c r="N35" s="258">
        <f t="shared" si="13"/>
        <v>98.13915375</v>
      </c>
      <c r="O35" s="258">
        <f t="shared" si="13"/>
        <v>113.380031014</v>
      </c>
    </row>
    <row r="36" spans="1:15" ht="30.75" customHeight="1">
      <c r="A36" s="257" t="s">
        <v>450</v>
      </c>
      <c r="B36" s="254" t="s">
        <v>193</v>
      </c>
      <c r="C36" s="266">
        <f>SUM(D36:O36)</f>
        <v>680.4624</v>
      </c>
      <c r="D36" s="256">
        <v>135.2126</v>
      </c>
      <c r="E36" s="256">
        <v>114.817</v>
      </c>
      <c r="F36" s="256">
        <v>115.6362</v>
      </c>
      <c r="G36" s="256">
        <v>23.726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33.243</v>
      </c>
      <c r="N36" s="256">
        <v>119.625</v>
      </c>
      <c r="O36" s="256">
        <v>138.2026</v>
      </c>
    </row>
    <row r="37" spans="1:15" ht="22.5" customHeight="1">
      <c r="A37" s="257" t="s">
        <v>194</v>
      </c>
      <c r="B37" s="254" t="s">
        <v>449</v>
      </c>
      <c r="C37" s="256">
        <f>C16</f>
        <v>175.6888</v>
      </c>
      <c r="D37" s="256">
        <f aca="true" t="shared" si="14" ref="D37:O37">D16</f>
        <v>175.6888</v>
      </c>
      <c r="E37" s="256">
        <f t="shared" si="14"/>
        <v>175.6888</v>
      </c>
      <c r="F37" s="256">
        <f t="shared" si="14"/>
        <v>175.6888</v>
      </c>
      <c r="G37" s="256">
        <f t="shared" si="14"/>
        <v>175.6888</v>
      </c>
      <c r="H37" s="256">
        <f t="shared" si="14"/>
        <v>175.6888</v>
      </c>
      <c r="I37" s="256">
        <f t="shared" si="14"/>
        <v>175.6888</v>
      </c>
      <c r="J37" s="256">
        <f t="shared" si="14"/>
        <v>175.6888</v>
      </c>
      <c r="K37" s="256">
        <f t="shared" si="14"/>
        <v>175.6888</v>
      </c>
      <c r="L37" s="256">
        <f t="shared" si="14"/>
        <v>175.6888</v>
      </c>
      <c r="M37" s="256">
        <f t="shared" si="14"/>
        <v>175.6888</v>
      </c>
      <c r="N37" s="256">
        <f t="shared" si="14"/>
        <v>175.6888</v>
      </c>
      <c r="O37" s="256">
        <f t="shared" si="14"/>
        <v>175.6888</v>
      </c>
    </row>
    <row r="38" spans="1:15" ht="32.25" customHeight="1">
      <c r="A38" s="271" t="s">
        <v>451</v>
      </c>
      <c r="B38" s="272" t="s">
        <v>53</v>
      </c>
      <c r="C38" s="278">
        <f>C36*C37/100</f>
        <v>1195.4962250111998</v>
      </c>
      <c r="D38" s="278">
        <f aca="true" t="shared" si="15" ref="D38:O38">D36*D37/100</f>
        <v>237.5533943888</v>
      </c>
      <c r="E38" s="278">
        <f t="shared" si="15"/>
        <v>201.72060949599995</v>
      </c>
      <c r="F38" s="278">
        <f t="shared" si="15"/>
        <v>203.15985214559998</v>
      </c>
      <c r="G38" s="278">
        <f t="shared" si="15"/>
        <v>41.683924688</v>
      </c>
      <c r="H38" s="278">
        <f t="shared" si="15"/>
        <v>0</v>
      </c>
      <c r="I38" s="278">
        <f t="shared" si="15"/>
        <v>0</v>
      </c>
      <c r="J38" s="278">
        <f t="shared" si="15"/>
        <v>0</v>
      </c>
      <c r="K38" s="278">
        <f t="shared" si="15"/>
        <v>0</v>
      </c>
      <c r="L38" s="278">
        <f t="shared" si="15"/>
        <v>0</v>
      </c>
      <c r="M38" s="278">
        <f t="shared" si="15"/>
        <v>58.40422778399999</v>
      </c>
      <c r="N38" s="278">
        <f t="shared" si="15"/>
        <v>210.16772699999999</v>
      </c>
      <c r="O38" s="278">
        <f t="shared" si="15"/>
        <v>242.80648950879996</v>
      </c>
    </row>
    <row r="39" spans="1:15" ht="30.75" customHeight="1">
      <c r="A39" s="257" t="s">
        <v>452</v>
      </c>
      <c r="B39" s="254" t="s">
        <v>193</v>
      </c>
      <c r="C39" s="256">
        <v>0</v>
      </c>
      <c r="D39" s="256">
        <v>0</v>
      </c>
      <c r="E39" s="256">
        <v>0</v>
      </c>
      <c r="F39" s="256"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</row>
    <row r="40" spans="1:15" ht="36.75" customHeight="1">
      <c r="A40" s="257" t="s">
        <v>453</v>
      </c>
      <c r="B40" s="254" t="s">
        <v>449</v>
      </c>
      <c r="C40" s="256">
        <v>0</v>
      </c>
      <c r="D40" s="256">
        <v>0</v>
      </c>
      <c r="E40" s="256">
        <v>0</v>
      </c>
      <c r="F40" s="256">
        <v>0</v>
      </c>
      <c r="G40" s="256">
        <v>0</v>
      </c>
      <c r="H40" s="256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</row>
    <row r="41" spans="1:15" ht="29.25" customHeight="1">
      <c r="A41" s="257" t="s">
        <v>454</v>
      </c>
      <c r="B41" s="254" t="s">
        <v>53</v>
      </c>
      <c r="C41" s="256">
        <v>0</v>
      </c>
      <c r="D41" s="256">
        <v>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</row>
    <row r="42" spans="1:15" ht="29.25" customHeight="1">
      <c r="A42" s="271" t="s">
        <v>455</v>
      </c>
      <c r="B42" s="272" t="s">
        <v>53</v>
      </c>
      <c r="C42" s="278">
        <f>C38</f>
        <v>1195.4962250111998</v>
      </c>
      <c r="D42" s="278">
        <f aca="true" t="shared" si="16" ref="D42:O42">D38</f>
        <v>237.5533943888</v>
      </c>
      <c r="E42" s="278">
        <f t="shared" si="16"/>
        <v>201.72060949599995</v>
      </c>
      <c r="F42" s="278">
        <f t="shared" si="16"/>
        <v>203.15985214559998</v>
      </c>
      <c r="G42" s="278">
        <f t="shared" si="16"/>
        <v>41.683924688</v>
      </c>
      <c r="H42" s="278">
        <f t="shared" si="16"/>
        <v>0</v>
      </c>
      <c r="I42" s="278">
        <f t="shared" si="16"/>
        <v>0</v>
      </c>
      <c r="J42" s="278">
        <f t="shared" si="16"/>
        <v>0</v>
      </c>
      <c r="K42" s="278">
        <f t="shared" si="16"/>
        <v>0</v>
      </c>
      <c r="L42" s="278">
        <f t="shared" si="16"/>
        <v>0</v>
      </c>
      <c r="M42" s="278">
        <f t="shared" si="16"/>
        <v>58.40422778399999</v>
      </c>
      <c r="N42" s="278">
        <f t="shared" si="16"/>
        <v>210.16772699999999</v>
      </c>
      <c r="O42" s="278">
        <f t="shared" si="16"/>
        <v>242.80648950879996</v>
      </c>
    </row>
    <row r="43" spans="1:15" ht="27.75" customHeight="1">
      <c r="A43" s="257" t="s">
        <v>456</v>
      </c>
      <c r="B43" s="254" t="s">
        <v>462</v>
      </c>
      <c r="C43" s="267">
        <f>SUM(D43:O43)</f>
        <v>58.69696000000002</v>
      </c>
      <c r="D43" s="256">
        <f>22.666*56%</f>
        <v>12.692960000000001</v>
      </c>
      <c r="E43" s="256">
        <f>17.881*56%</f>
        <v>10.01336</v>
      </c>
      <c r="F43" s="256">
        <f>16.946*56%</f>
        <v>9.489760000000002</v>
      </c>
      <c r="G43" s="256">
        <f>3.945*56%</f>
        <v>2.2092</v>
      </c>
      <c r="H43" s="256">
        <f>0.324*56%</f>
        <v>0.18144000000000002</v>
      </c>
      <c r="I43" s="256">
        <f>0.071*56%</f>
        <v>0.039760000000000004</v>
      </c>
      <c r="J43" s="256">
        <f>0.342*56%</f>
        <v>0.19152000000000002</v>
      </c>
      <c r="K43" s="256">
        <f>0.322*56%</f>
        <v>0.18032</v>
      </c>
      <c r="L43" s="256">
        <f>0.388*56%</f>
        <v>0.21728000000000003</v>
      </c>
      <c r="M43" s="256">
        <f>0.823*56%</f>
        <v>0.46088</v>
      </c>
      <c r="N43" s="256">
        <f>18.884*56%</f>
        <v>10.575040000000001</v>
      </c>
      <c r="O43" s="256">
        <f>22.224*56%</f>
        <v>12.445440000000001</v>
      </c>
    </row>
    <row r="44" spans="1:15" ht="30" customHeight="1">
      <c r="A44" s="257" t="s">
        <v>458</v>
      </c>
      <c r="B44" s="254" t="s">
        <v>459</v>
      </c>
      <c r="C44" s="267">
        <f>C23</f>
        <v>142.004</v>
      </c>
      <c r="D44" s="267">
        <f aca="true" t="shared" si="17" ref="D44:O44">D23</f>
        <v>142.004</v>
      </c>
      <c r="E44" s="267">
        <f t="shared" si="17"/>
        <v>142.004</v>
      </c>
      <c r="F44" s="267">
        <f t="shared" si="17"/>
        <v>142.004</v>
      </c>
      <c r="G44" s="267">
        <f t="shared" si="17"/>
        <v>142.004</v>
      </c>
      <c r="H44" s="267">
        <f t="shared" si="17"/>
        <v>142.004</v>
      </c>
      <c r="I44" s="267">
        <f t="shared" si="17"/>
        <v>142.004</v>
      </c>
      <c r="J44" s="267">
        <f t="shared" si="17"/>
        <v>142.004</v>
      </c>
      <c r="K44" s="267">
        <f t="shared" si="17"/>
        <v>142.004</v>
      </c>
      <c r="L44" s="267">
        <f t="shared" si="17"/>
        <v>142.004</v>
      </c>
      <c r="M44" s="267">
        <f t="shared" si="17"/>
        <v>142.004</v>
      </c>
      <c r="N44" s="267">
        <f t="shared" si="17"/>
        <v>142.004</v>
      </c>
      <c r="O44" s="267">
        <f t="shared" si="17"/>
        <v>142.004</v>
      </c>
    </row>
    <row r="45" spans="1:15" ht="25.5" customHeight="1">
      <c r="A45" s="271" t="s">
        <v>460</v>
      </c>
      <c r="B45" s="272" t="s">
        <v>53</v>
      </c>
      <c r="C45" s="258">
        <f>SUM(D45:O45)</f>
        <v>83.3520310784</v>
      </c>
      <c r="D45" s="278">
        <f>D43*D44/100</f>
        <v>18.0245109184</v>
      </c>
      <c r="E45" s="278">
        <f aca="true" t="shared" si="18" ref="E45:O45">E43*E44/100</f>
        <v>14.2193717344</v>
      </c>
      <c r="F45" s="278">
        <f t="shared" si="18"/>
        <v>13.475838790400003</v>
      </c>
      <c r="G45" s="278">
        <f t="shared" si="18"/>
        <v>3.137152368</v>
      </c>
      <c r="H45" s="278">
        <f t="shared" si="18"/>
        <v>0.2576520576</v>
      </c>
      <c r="I45" s="278">
        <f t="shared" si="18"/>
        <v>0.0564607904</v>
      </c>
      <c r="J45" s="278">
        <f t="shared" si="18"/>
        <v>0.2719660608</v>
      </c>
      <c r="K45" s="278">
        <f t="shared" si="18"/>
        <v>0.2560616128</v>
      </c>
      <c r="L45" s="278">
        <f t="shared" si="18"/>
        <v>0.30854629120000004</v>
      </c>
      <c r="M45" s="278">
        <f t="shared" si="18"/>
        <v>0.6544680352000001</v>
      </c>
      <c r="N45" s="278">
        <f t="shared" si="18"/>
        <v>15.0169798016</v>
      </c>
      <c r="O45" s="278">
        <f t="shared" si="18"/>
        <v>17.6730226176</v>
      </c>
    </row>
    <row r="46" spans="1:15" ht="30" customHeight="1">
      <c r="A46" s="257" t="s">
        <v>461</v>
      </c>
      <c r="B46" s="254" t="s">
        <v>462</v>
      </c>
      <c r="C46" s="267">
        <f>O46+N46+M46+L46+K46+J46+I46+H46+G46+F46+D46+E46</f>
        <v>0.22680000000000003</v>
      </c>
      <c r="D46" s="256">
        <f>0.044*56%</f>
        <v>0.024640000000000002</v>
      </c>
      <c r="E46" s="256">
        <f>0.075*56%</f>
        <v>0.042</v>
      </c>
      <c r="F46" s="256">
        <f>0.095*56%</f>
        <v>0.053200000000000004</v>
      </c>
      <c r="G46" s="256">
        <f>0.035*56%</f>
        <v>0.019600000000000003</v>
      </c>
      <c r="H46" s="256">
        <f>0.016*56%</f>
        <v>0.008960000000000001</v>
      </c>
      <c r="I46" s="256">
        <f>0.004*56%</f>
        <v>0.0022400000000000002</v>
      </c>
      <c r="J46" s="256">
        <f>0.022*56%</f>
        <v>0.012320000000000001</v>
      </c>
      <c r="K46" s="256">
        <f>0.019*56%</f>
        <v>0.01064</v>
      </c>
      <c r="L46" s="256">
        <f>0.008*56%</f>
        <v>0.0044800000000000005</v>
      </c>
      <c r="M46" s="256">
        <f>0.002*56%</f>
        <v>0.0011200000000000001</v>
      </c>
      <c r="N46" s="256">
        <f>0.045*56%</f>
        <v>0.0252</v>
      </c>
      <c r="O46" s="256">
        <f>0.04*56%</f>
        <v>0.022400000000000003</v>
      </c>
    </row>
    <row r="47" spans="1:15" ht="34.5" customHeight="1">
      <c r="A47" s="257" t="s">
        <v>463</v>
      </c>
      <c r="B47" s="254" t="s">
        <v>459</v>
      </c>
      <c r="C47" s="267">
        <f>C44</f>
        <v>142.004</v>
      </c>
      <c r="D47" s="267">
        <f aca="true" t="shared" si="19" ref="D47:O47">D44</f>
        <v>142.004</v>
      </c>
      <c r="E47" s="267">
        <f t="shared" si="19"/>
        <v>142.004</v>
      </c>
      <c r="F47" s="267">
        <f t="shared" si="19"/>
        <v>142.004</v>
      </c>
      <c r="G47" s="267">
        <f t="shared" si="19"/>
        <v>142.004</v>
      </c>
      <c r="H47" s="267">
        <f t="shared" si="19"/>
        <v>142.004</v>
      </c>
      <c r="I47" s="267">
        <f t="shared" si="19"/>
        <v>142.004</v>
      </c>
      <c r="J47" s="267">
        <f t="shared" si="19"/>
        <v>142.004</v>
      </c>
      <c r="K47" s="267">
        <f t="shared" si="19"/>
        <v>142.004</v>
      </c>
      <c r="L47" s="267">
        <f t="shared" si="19"/>
        <v>142.004</v>
      </c>
      <c r="M47" s="267">
        <f t="shared" si="19"/>
        <v>142.004</v>
      </c>
      <c r="N47" s="267">
        <f t="shared" si="19"/>
        <v>142.004</v>
      </c>
      <c r="O47" s="267">
        <f t="shared" si="19"/>
        <v>142.004</v>
      </c>
    </row>
    <row r="48" spans="1:15" ht="35.25" customHeight="1">
      <c r="A48" s="271" t="s">
        <v>464</v>
      </c>
      <c r="B48" s="272" t="s">
        <v>53</v>
      </c>
      <c r="C48" s="258">
        <f>SUM(D48:O48)</f>
        <v>0.322065072</v>
      </c>
      <c r="D48" s="278">
        <f>D46*D47/100</f>
        <v>0.034989785600000003</v>
      </c>
      <c r="E48" s="278">
        <f aca="true" t="shared" si="20" ref="E48:O48">E46*E47/100</f>
        <v>0.05964168</v>
      </c>
      <c r="F48" s="278">
        <f t="shared" si="20"/>
        <v>0.075546128</v>
      </c>
      <c r="G48" s="278">
        <f t="shared" si="20"/>
        <v>0.027832784000000003</v>
      </c>
      <c r="H48" s="278">
        <f t="shared" si="20"/>
        <v>0.012723558400000001</v>
      </c>
      <c r="I48" s="278">
        <f t="shared" si="20"/>
        <v>0.0031808896000000003</v>
      </c>
      <c r="J48" s="278">
        <f t="shared" si="20"/>
        <v>0.017494892800000002</v>
      </c>
      <c r="K48" s="278">
        <f t="shared" si="20"/>
        <v>0.0151092256</v>
      </c>
      <c r="L48" s="278">
        <f t="shared" si="20"/>
        <v>0.006361779200000001</v>
      </c>
      <c r="M48" s="278">
        <f t="shared" si="20"/>
        <v>0.0015904448000000002</v>
      </c>
      <c r="N48" s="278">
        <f t="shared" si="20"/>
        <v>0.03578500799999999</v>
      </c>
      <c r="O48" s="278">
        <f t="shared" si="20"/>
        <v>0.031808896</v>
      </c>
    </row>
    <row r="49" spans="1:15" ht="52.5" customHeight="1">
      <c r="A49" s="264" t="s">
        <v>476</v>
      </c>
      <c r="B49" s="253" t="s">
        <v>473</v>
      </c>
      <c r="C49" s="279">
        <f>C35+C38+C45+C48</f>
        <v>1837.4148694975997</v>
      </c>
      <c r="D49" s="279">
        <f aca="true" t="shared" si="21" ref="D49:O49">D35+D38+D45+D48</f>
        <v>366.53996000679996</v>
      </c>
      <c r="E49" s="279">
        <f t="shared" si="21"/>
        <v>310.1943415404</v>
      </c>
      <c r="F49" s="279">
        <f t="shared" si="21"/>
        <v>311.578019182</v>
      </c>
      <c r="G49" s="279">
        <f t="shared" si="21"/>
        <v>64.31348297999999</v>
      </c>
      <c r="H49" s="279">
        <f t="shared" si="21"/>
        <v>0.270375616</v>
      </c>
      <c r="I49" s="279">
        <f t="shared" si="21"/>
        <v>0.05964168</v>
      </c>
      <c r="J49" s="279">
        <f t="shared" si="21"/>
        <v>0.2894609536</v>
      </c>
      <c r="K49" s="279">
        <f t="shared" si="21"/>
        <v>0.2711708384</v>
      </c>
      <c r="L49" s="279">
        <f t="shared" si="21"/>
        <v>0.3149080704</v>
      </c>
      <c r="M49" s="279">
        <f t="shared" si="21"/>
        <v>86.33251103399999</v>
      </c>
      <c r="N49" s="279">
        <f t="shared" si="21"/>
        <v>323.3596455596</v>
      </c>
      <c r="O49" s="279">
        <f t="shared" si="21"/>
        <v>373.8913520363999</v>
      </c>
    </row>
    <row r="50" spans="1:15" ht="12.75">
      <c r="A50" s="268"/>
      <c r="B50" s="269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</row>
    <row r="51" spans="1:15" ht="12.75">
      <c r="A51" s="370" t="s">
        <v>379</v>
      </c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</row>
    <row r="52" spans="1:15" ht="12.75">
      <c r="A52" s="370" t="s">
        <v>43</v>
      </c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</row>
  </sheetData>
  <sheetProtection/>
  <mergeCells count="9">
    <mergeCell ref="A29:O29"/>
    <mergeCell ref="A51:O51"/>
    <mergeCell ref="A52:O52"/>
    <mergeCell ref="K1:O1"/>
    <mergeCell ref="A2:O2"/>
    <mergeCell ref="A3:O3"/>
    <mergeCell ref="C4:K4"/>
    <mergeCell ref="N4:O4"/>
    <mergeCell ref="A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K97"/>
  <sheetViews>
    <sheetView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6.28125" style="24" customWidth="1"/>
    <col min="2" max="2" width="57.140625" style="25" customWidth="1"/>
    <col min="3" max="3" width="9.140625" style="25" customWidth="1"/>
    <col min="4" max="4" width="10.8515625" style="25" customWidth="1"/>
    <col min="5" max="5" width="11.57421875" style="25" bestFit="1" customWidth="1"/>
    <col min="6" max="6" width="12.57421875" style="25" customWidth="1"/>
    <col min="7" max="7" width="12.57421875" style="25" bestFit="1" customWidth="1"/>
    <col min="8" max="8" width="12.28125" style="25" customWidth="1"/>
    <col min="9" max="16384" width="9.140625" style="25" customWidth="1"/>
  </cols>
  <sheetData>
    <row r="1" spans="4:7" ht="12.75">
      <c r="D1" s="393" t="s">
        <v>195</v>
      </c>
      <c r="E1" s="393"/>
      <c r="F1" s="393"/>
      <c r="G1" s="393"/>
    </row>
    <row r="2" spans="4:7" ht="12.75">
      <c r="D2" s="393"/>
      <c r="E2" s="393"/>
      <c r="F2" s="393"/>
      <c r="G2" s="393"/>
    </row>
    <row r="3" spans="4:7" ht="12.75">
      <c r="D3" s="393"/>
      <c r="E3" s="393"/>
      <c r="F3" s="393"/>
      <c r="G3" s="393"/>
    </row>
    <row r="4" spans="4:7" ht="12.75">
      <c r="D4" s="393"/>
      <c r="E4" s="393"/>
      <c r="F4" s="393"/>
      <c r="G4" s="393"/>
    </row>
    <row r="5" spans="1:7" ht="12.75">
      <c r="A5" s="309"/>
      <c r="B5" s="309"/>
      <c r="C5" s="309"/>
      <c r="D5" s="309"/>
      <c r="E5" s="309"/>
      <c r="F5" s="309"/>
      <c r="G5" s="309"/>
    </row>
    <row r="6" spans="1:7" ht="12.75" customHeight="1">
      <c r="A6" s="312" t="s">
        <v>196</v>
      </c>
      <c r="B6" s="312"/>
      <c r="C6" s="312"/>
      <c r="D6" s="312"/>
      <c r="E6" s="312"/>
      <c r="F6" s="312"/>
      <c r="G6" s="312"/>
    </row>
    <row r="7" spans="1:7" ht="12.75">
      <c r="A7" s="309"/>
      <c r="B7" s="309"/>
      <c r="C7" s="309"/>
      <c r="D7" s="309"/>
      <c r="E7" s="309"/>
      <c r="F7" s="309"/>
      <c r="G7" s="309"/>
    </row>
    <row r="8" spans="1:7" ht="12.75" customHeight="1">
      <c r="A8" s="312" t="s">
        <v>197</v>
      </c>
      <c r="B8" s="312"/>
      <c r="C8" s="312"/>
      <c r="D8" s="312"/>
      <c r="E8" s="312"/>
      <c r="F8" s="312"/>
      <c r="G8" s="312"/>
    </row>
    <row r="9" spans="1:7" ht="13.5" thickBot="1">
      <c r="A9" s="309" t="s">
        <v>327</v>
      </c>
      <c r="B9" s="309"/>
      <c r="C9" s="309"/>
      <c r="D9" s="309"/>
      <c r="E9" s="309"/>
      <c r="F9" s="309"/>
      <c r="G9" s="309"/>
    </row>
    <row r="10" spans="1:7" ht="25.5" customHeight="1">
      <c r="A10" s="395" t="s">
        <v>1</v>
      </c>
      <c r="B10" s="390" t="s">
        <v>2</v>
      </c>
      <c r="C10" s="390" t="s">
        <v>47</v>
      </c>
      <c r="D10" s="398" t="s">
        <v>366</v>
      </c>
      <c r="E10" s="390" t="s">
        <v>367</v>
      </c>
      <c r="F10" s="390" t="s">
        <v>368</v>
      </c>
      <c r="G10" s="390" t="s">
        <v>369</v>
      </c>
    </row>
    <row r="11" spans="1:7" ht="12.75">
      <c r="A11" s="396"/>
      <c r="B11" s="391"/>
      <c r="C11" s="391"/>
      <c r="D11" s="399"/>
      <c r="E11" s="391"/>
      <c r="F11" s="391"/>
      <c r="G11" s="391"/>
    </row>
    <row r="12" spans="1:7" ht="34.5" customHeight="1" thickBot="1">
      <c r="A12" s="397"/>
      <c r="B12" s="392"/>
      <c r="C12" s="392"/>
      <c r="D12" s="400"/>
      <c r="E12" s="392"/>
      <c r="F12" s="392"/>
      <c r="G12" s="392"/>
    </row>
    <row r="13" spans="1:7" ht="13.5" thickBot="1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</row>
    <row r="14" spans="1:7" ht="13.5" thickBot="1">
      <c r="A14" s="401" t="s">
        <v>198</v>
      </c>
      <c r="B14" s="402"/>
      <c r="C14" s="402"/>
      <c r="D14" s="402"/>
      <c r="E14" s="402"/>
      <c r="F14" s="402"/>
      <c r="G14" s="403"/>
    </row>
    <row r="15" spans="1:7" ht="26.25" thickBot="1">
      <c r="A15" s="102">
        <v>1</v>
      </c>
      <c r="B15" s="60" t="s">
        <v>199</v>
      </c>
      <c r="C15" s="60" t="s">
        <v>36</v>
      </c>
      <c r="D15" s="60">
        <v>48.4233</v>
      </c>
      <c r="E15" s="60">
        <v>49.9799</v>
      </c>
      <c r="F15" s="60">
        <v>47.523</v>
      </c>
      <c r="G15" s="60">
        <v>49.9799</v>
      </c>
    </row>
    <row r="16" spans="1:7" ht="26.25" thickBot="1">
      <c r="A16" s="102">
        <v>2</v>
      </c>
      <c r="B16" s="60" t="s">
        <v>200</v>
      </c>
      <c r="C16" s="60" t="s">
        <v>36</v>
      </c>
      <c r="D16" s="60">
        <v>22.0202</v>
      </c>
      <c r="E16" s="60">
        <v>24.698</v>
      </c>
      <c r="F16" s="60">
        <v>22.202</v>
      </c>
      <c r="G16" s="60">
        <v>24.7034</v>
      </c>
    </row>
    <row r="17" spans="1:7" ht="26.25" thickBot="1">
      <c r="A17" s="102">
        <v>3</v>
      </c>
      <c r="B17" s="60" t="s">
        <v>201</v>
      </c>
      <c r="C17" s="60" t="s">
        <v>202</v>
      </c>
      <c r="D17" s="60">
        <v>136.982</v>
      </c>
      <c r="E17" s="60">
        <v>136.162</v>
      </c>
      <c r="F17" s="60">
        <v>141.485</v>
      </c>
      <c r="G17" s="60">
        <v>131.106</v>
      </c>
    </row>
    <row r="18" spans="1:7" ht="13.5" thickBot="1">
      <c r="A18" s="102" t="s">
        <v>83</v>
      </c>
      <c r="B18" s="60" t="s">
        <v>203</v>
      </c>
      <c r="C18" s="60"/>
      <c r="D18" s="60">
        <v>280.447</v>
      </c>
      <c r="E18" s="60">
        <v>293.438</v>
      </c>
      <c r="F18" s="61"/>
      <c r="G18" s="60">
        <v>314.662</v>
      </c>
    </row>
    <row r="19" spans="1:7" ht="26.25" thickBot="1">
      <c r="A19" s="102">
        <v>4</v>
      </c>
      <c r="B19" s="60" t="s">
        <v>204</v>
      </c>
      <c r="C19" s="60" t="s">
        <v>205</v>
      </c>
      <c r="D19" s="60">
        <v>164.275</v>
      </c>
      <c r="E19" s="60">
        <v>163.417</v>
      </c>
      <c r="F19" s="61" t="s">
        <v>372</v>
      </c>
      <c r="G19" s="60" t="s">
        <v>372</v>
      </c>
    </row>
    <row r="20" spans="1:7" ht="26.25" thickBot="1">
      <c r="A20" s="102">
        <v>5</v>
      </c>
      <c r="B20" s="60" t="s">
        <v>206</v>
      </c>
      <c r="C20" s="60" t="s">
        <v>205</v>
      </c>
      <c r="D20" s="60">
        <v>166.408</v>
      </c>
      <c r="E20" s="60">
        <v>166.495</v>
      </c>
      <c r="F20" s="61">
        <v>169.216</v>
      </c>
      <c r="G20" s="60">
        <v>164.736</v>
      </c>
    </row>
    <row r="21" spans="1:7" ht="13.5" thickBot="1">
      <c r="A21" s="102">
        <v>6</v>
      </c>
      <c r="B21" s="60" t="s">
        <v>207</v>
      </c>
      <c r="C21" s="60" t="s">
        <v>18</v>
      </c>
      <c r="D21" s="60">
        <v>37989.025</v>
      </c>
      <c r="E21" s="60">
        <v>44648.742</v>
      </c>
      <c r="F21" s="61">
        <v>51879.706</v>
      </c>
      <c r="G21" s="60">
        <v>53749.916</v>
      </c>
    </row>
    <row r="22" spans="1:7" ht="26.25" thickBot="1">
      <c r="A22" s="102">
        <v>7</v>
      </c>
      <c r="B22" s="60" t="s">
        <v>208</v>
      </c>
      <c r="C22" s="60" t="s">
        <v>18</v>
      </c>
      <c r="D22" s="60">
        <v>848.337</v>
      </c>
      <c r="E22" s="60">
        <v>995.493</v>
      </c>
      <c r="F22" s="61">
        <v>1367.656</v>
      </c>
      <c r="G22" s="60">
        <v>1519.126</v>
      </c>
    </row>
    <row r="23" spans="1:7" ht="26.25" thickBot="1">
      <c r="A23" s="102">
        <v>8</v>
      </c>
      <c r="B23" s="60" t="s">
        <v>209</v>
      </c>
      <c r="C23" s="60" t="s">
        <v>18</v>
      </c>
      <c r="D23" s="60">
        <v>37140.688</v>
      </c>
      <c r="E23" s="60">
        <v>43653.251</v>
      </c>
      <c r="F23" s="61">
        <v>50512.05</v>
      </c>
      <c r="G23" s="60">
        <v>52230.79</v>
      </c>
    </row>
    <row r="24" spans="1:7" ht="26.25" thickBot="1">
      <c r="A24" s="102">
        <v>9</v>
      </c>
      <c r="B24" s="60" t="s">
        <v>210</v>
      </c>
      <c r="C24" s="60" t="s">
        <v>211</v>
      </c>
      <c r="D24" s="60"/>
      <c r="E24" s="60"/>
      <c r="F24" s="61"/>
      <c r="G24" s="60"/>
    </row>
    <row r="25" spans="1:7" ht="26.25" thickBot="1">
      <c r="A25" s="102">
        <v>10</v>
      </c>
      <c r="B25" s="60" t="s">
        <v>212</v>
      </c>
      <c r="C25" s="60" t="s">
        <v>213</v>
      </c>
      <c r="D25" s="60"/>
      <c r="E25" s="60"/>
      <c r="F25" s="61"/>
      <c r="G25" s="60"/>
    </row>
    <row r="26" spans="1:7" ht="13.5" thickBot="1">
      <c r="A26" s="102">
        <v>11</v>
      </c>
      <c r="B26" s="60" t="s">
        <v>214</v>
      </c>
      <c r="C26" s="60" t="s">
        <v>53</v>
      </c>
      <c r="D26" s="60"/>
      <c r="E26" s="60"/>
      <c r="F26" s="61"/>
      <c r="G26" s="60"/>
    </row>
    <row r="27" spans="1:9" ht="26.25" thickBot="1">
      <c r="A27" s="102">
        <v>12</v>
      </c>
      <c r="B27" s="60" t="s">
        <v>215</v>
      </c>
      <c r="C27" s="60" t="s">
        <v>53</v>
      </c>
      <c r="D27" s="60"/>
      <c r="E27" s="60"/>
      <c r="F27" s="61"/>
      <c r="G27" s="60"/>
      <c r="I27" s="28"/>
    </row>
    <row r="28" spans="1:7" ht="13.5" thickBot="1">
      <c r="A28" s="102" t="s">
        <v>216</v>
      </c>
      <c r="B28" s="60" t="s">
        <v>217</v>
      </c>
      <c r="C28" s="60" t="s">
        <v>53</v>
      </c>
      <c r="D28" s="60"/>
      <c r="E28" s="60"/>
      <c r="F28" s="61"/>
      <c r="G28" s="60"/>
    </row>
    <row r="29" spans="1:7" ht="13.5" thickBot="1">
      <c r="A29" s="102">
        <v>13</v>
      </c>
      <c r="B29" s="60" t="s">
        <v>218</v>
      </c>
      <c r="C29" s="60" t="s">
        <v>53</v>
      </c>
      <c r="D29" s="60"/>
      <c r="E29" s="60"/>
      <c r="F29" s="61"/>
      <c r="G29" s="60"/>
    </row>
    <row r="30" spans="1:8" ht="13.5" thickBot="1">
      <c r="A30" s="102">
        <v>14</v>
      </c>
      <c r="B30" s="60" t="s">
        <v>219</v>
      </c>
      <c r="C30" s="60" t="s">
        <v>53</v>
      </c>
      <c r="D30" s="61"/>
      <c r="E30" s="61"/>
      <c r="F30" s="61"/>
      <c r="G30" s="61"/>
      <c r="H30" s="62"/>
    </row>
    <row r="31" spans="1:7" ht="13.5" customHeight="1" thickBot="1">
      <c r="A31" s="404" t="s">
        <v>220</v>
      </c>
      <c r="B31" s="405"/>
      <c r="C31" s="405"/>
      <c r="D31" s="405"/>
      <c r="E31" s="405"/>
      <c r="F31" s="405"/>
      <c r="G31" s="406"/>
    </row>
    <row r="32" spans="1:7" ht="26.25" thickBot="1">
      <c r="A32" s="102">
        <v>1</v>
      </c>
      <c r="B32" s="60" t="s">
        <v>221</v>
      </c>
      <c r="C32" s="60" t="s">
        <v>222</v>
      </c>
      <c r="D32" s="60">
        <v>18.7914</v>
      </c>
      <c r="E32" s="60">
        <v>19.677</v>
      </c>
      <c r="F32" s="61">
        <v>18.835</v>
      </c>
      <c r="G32" s="60">
        <v>19.677</v>
      </c>
    </row>
    <row r="33" spans="1:7" ht="26.25" thickBot="1">
      <c r="A33" s="102">
        <v>2</v>
      </c>
      <c r="B33" s="60" t="s">
        <v>210</v>
      </c>
      <c r="C33" s="60" t="s">
        <v>211</v>
      </c>
      <c r="D33" s="60"/>
      <c r="E33" s="60"/>
      <c r="F33" s="61"/>
      <c r="G33" s="60"/>
    </row>
    <row r="34" spans="1:7" ht="26.25" thickBot="1">
      <c r="A34" s="102">
        <v>3</v>
      </c>
      <c r="B34" s="60" t="s">
        <v>212</v>
      </c>
      <c r="C34" s="60" t="s">
        <v>213</v>
      </c>
      <c r="D34" s="60"/>
      <c r="E34" s="60"/>
      <c r="F34" s="61"/>
      <c r="G34" s="60"/>
    </row>
    <row r="35" spans="1:7" ht="13.5" thickBot="1">
      <c r="A35" s="102">
        <v>4</v>
      </c>
      <c r="B35" s="60" t="s">
        <v>223</v>
      </c>
      <c r="C35" s="60" t="s">
        <v>18</v>
      </c>
      <c r="D35" s="60">
        <v>37140.688</v>
      </c>
      <c r="E35" s="60">
        <v>43653.251</v>
      </c>
      <c r="F35" s="61">
        <v>50512.05</v>
      </c>
      <c r="G35" s="60">
        <v>52230.79</v>
      </c>
    </row>
    <row r="36" spans="1:10" ht="13.5" thickBot="1">
      <c r="A36" s="102">
        <v>5</v>
      </c>
      <c r="B36" s="60" t="s">
        <v>224</v>
      </c>
      <c r="C36" s="60" t="s">
        <v>18</v>
      </c>
      <c r="D36" s="60">
        <v>3915.475</v>
      </c>
      <c r="E36" s="60">
        <v>4923.56</v>
      </c>
      <c r="F36" s="61" t="s">
        <v>372</v>
      </c>
      <c r="G36" s="60" t="s">
        <v>372</v>
      </c>
      <c r="J36" s="31"/>
    </row>
    <row r="37" spans="1:7" ht="13.5" thickBot="1">
      <c r="A37" s="102" t="s">
        <v>27</v>
      </c>
      <c r="B37" s="60" t="s">
        <v>225</v>
      </c>
      <c r="C37" s="60" t="s">
        <v>25</v>
      </c>
      <c r="D37" s="60">
        <v>11.78</v>
      </c>
      <c r="E37" s="60">
        <v>12.71</v>
      </c>
      <c r="F37" s="61" t="s">
        <v>372</v>
      </c>
      <c r="G37" s="60" t="s">
        <v>372</v>
      </c>
    </row>
    <row r="38" spans="1:7" ht="13.5" thickBot="1">
      <c r="A38" s="102">
        <v>6</v>
      </c>
      <c r="B38" s="60" t="s">
        <v>226</v>
      </c>
      <c r="C38" s="60" t="s">
        <v>18</v>
      </c>
      <c r="D38" s="60">
        <v>4771.141</v>
      </c>
      <c r="E38" s="60">
        <v>5240.127</v>
      </c>
      <c r="F38" s="61">
        <v>6404.711</v>
      </c>
      <c r="G38" s="60">
        <v>6144.626</v>
      </c>
    </row>
    <row r="39" spans="1:7" ht="13.5" thickBot="1">
      <c r="A39" s="102" t="s">
        <v>37</v>
      </c>
      <c r="B39" s="60" t="s">
        <v>225</v>
      </c>
      <c r="C39" s="60" t="s">
        <v>25</v>
      </c>
      <c r="D39" s="60">
        <v>14.36</v>
      </c>
      <c r="E39" s="60">
        <v>13.53</v>
      </c>
      <c r="F39" s="61">
        <v>14.52</v>
      </c>
      <c r="G39" s="60">
        <v>13.33</v>
      </c>
    </row>
    <row r="40" spans="1:7" ht="26.25" thickBot="1">
      <c r="A40" s="102">
        <v>7</v>
      </c>
      <c r="B40" s="60" t="s">
        <v>227</v>
      </c>
      <c r="C40" s="60" t="s">
        <v>18</v>
      </c>
      <c r="D40" s="60">
        <v>37140.688</v>
      </c>
      <c r="E40" s="60">
        <v>43653.251</v>
      </c>
      <c r="F40" s="61">
        <v>50512.05</v>
      </c>
      <c r="G40" s="60">
        <v>52230.79</v>
      </c>
    </row>
    <row r="41" spans="1:7" ht="13.5" thickBot="1">
      <c r="A41" s="102" t="s">
        <v>89</v>
      </c>
      <c r="B41" s="97" t="s">
        <v>228</v>
      </c>
      <c r="C41" s="60" t="s">
        <v>18</v>
      </c>
      <c r="D41" s="60">
        <v>0</v>
      </c>
      <c r="E41" s="60">
        <v>0</v>
      </c>
      <c r="F41" s="61">
        <v>0</v>
      </c>
      <c r="G41" s="60">
        <v>0</v>
      </c>
    </row>
    <row r="42" spans="1:7" ht="13.5" thickBot="1">
      <c r="A42" s="102" t="s">
        <v>91</v>
      </c>
      <c r="B42" s="97" t="s">
        <v>229</v>
      </c>
      <c r="C42" s="60" t="s">
        <v>18</v>
      </c>
      <c r="D42" s="60">
        <v>37140.688</v>
      </c>
      <c r="E42" s="60">
        <v>43653.251</v>
      </c>
      <c r="F42" s="61">
        <v>50512.05</v>
      </c>
      <c r="G42" s="60">
        <v>52230.79</v>
      </c>
    </row>
    <row r="43" spans="1:7" ht="13.5" thickBot="1">
      <c r="A43" s="102" t="s">
        <v>230</v>
      </c>
      <c r="B43" s="97" t="s">
        <v>126</v>
      </c>
      <c r="C43" s="60" t="s">
        <v>18</v>
      </c>
      <c r="D43" s="60">
        <v>37140.688</v>
      </c>
      <c r="E43" s="60">
        <v>43653.251</v>
      </c>
      <c r="F43" s="61">
        <v>50512.05</v>
      </c>
      <c r="G43" s="60">
        <v>52230.79</v>
      </c>
    </row>
    <row r="44" spans="1:7" ht="13.5" thickBot="1">
      <c r="A44" s="102" t="s">
        <v>231</v>
      </c>
      <c r="B44" s="97" t="s">
        <v>129</v>
      </c>
      <c r="C44" s="60" t="s">
        <v>18</v>
      </c>
      <c r="D44" s="60">
        <v>0</v>
      </c>
      <c r="E44" s="60">
        <v>0</v>
      </c>
      <c r="F44" s="60">
        <v>0</v>
      </c>
      <c r="G44" s="60">
        <v>0</v>
      </c>
    </row>
    <row r="45" spans="1:7" ht="13.5" thickBot="1">
      <c r="A45" s="102">
        <v>8</v>
      </c>
      <c r="B45" s="60" t="s">
        <v>214</v>
      </c>
      <c r="C45" s="60" t="s">
        <v>53</v>
      </c>
      <c r="D45" s="60"/>
      <c r="E45" s="60"/>
      <c r="F45" s="61"/>
      <c r="G45" s="60"/>
    </row>
    <row r="46" spans="1:7" ht="26.25" thickBot="1">
      <c r="A46" s="102">
        <v>9</v>
      </c>
      <c r="B46" s="60" t="s">
        <v>215</v>
      </c>
      <c r="C46" s="60" t="s">
        <v>53</v>
      </c>
      <c r="D46" s="60"/>
      <c r="E46" s="60"/>
      <c r="F46" s="61"/>
      <c r="G46" s="60"/>
    </row>
    <row r="47" spans="1:7" ht="13.5" thickBot="1">
      <c r="A47" s="102" t="s">
        <v>232</v>
      </c>
      <c r="B47" s="60" t="s">
        <v>217</v>
      </c>
      <c r="C47" s="60" t="s">
        <v>53</v>
      </c>
      <c r="D47" s="60"/>
      <c r="E47" s="60"/>
      <c r="F47" s="61"/>
      <c r="G47" s="60"/>
    </row>
    <row r="48" spans="1:7" ht="13.5" thickBot="1">
      <c r="A48" s="102">
        <v>10</v>
      </c>
      <c r="B48" s="60" t="s">
        <v>218</v>
      </c>
      <c r="C48" s="60" t="s">
        <v>53</v>
      </c>
      <c r="D48" s="60"/>
      <c r="E48" s="60"/>
      <c r="F48" s="61"/>
      <c r="G48" s="60"/>
    </row>
    <row r="49" spans="1:7" ht="13.5" thickBot="1">
      <c r="A49" s="102">
        <v>11</v>
      </c>
      <c r="B49" s="60" t="s">
        <v>219</v>
      </c>
      <c r="C49" s="60" t="s">
        <v>53</v>
      </c>
      <c r="D49" s="60"/>
      <c r="E49" s="60"/>
      <c r="F49" s="61"/>
      <c r="G49" s="61"/>
    </row>
    <row r="50" spans="1:7" ht="39" thickBot="1">
      <c r="A50" s="103" t="s">
        <v>325</v>
      </c>
      <c r="B50" s="61" t="s">
        <v>233</v>
      </c>
      <c r="C50" s="61" t="s">
        <v>36</v>
      </c>
      <c r="D50" s="61">
        <v>0</v>
      </c>
      <c r="E50" s="61">
        <v>0</v>
      </c>
      <c r="F50" s="61">
        <v>0</v>
      </c>
      <c r="G50" s="61">
        <v>0</v>
      </c>
    </row>
    <row r="51" spans="1:7" ht="13.5" thickBot="1">
      <c r="A51" s="103" t="s">
        <v>216</v>
      </c>
      <c r="B51" s="61" t="s">
        <v>38</v>
      </c>
      <c r="C51" s="61" t="s">
        <v>36</v>
      </c>
      <c r="D51" s="61">
        <v>0</v>
      </c>
      <c r="E51" s="61">
        <v>0</v>
      </c>
      <c r="F51" s="61">
        <v>0</v>
      </c>
      <c r="G51" s="61">
        <v>0</v>
      </c>
    </row>
    <row r="52" spans="1:7" ht="13.5" thickBot="1">
      <c r="A52" s="103" t="s">
        <v>234</v>
      </c>
      <c r="B52" s="61" t="s">
        <v>40</v>
      </c>
      <c r="C52" s="61" t="s">
        <v>36</v>
      </c>
      <c r="D52" s="61">
        <v>0</v>
      </c>
      <c r="E52" s="61">
        <v>0</v>
      </c>
      <c r="F52" s="61">
        <v>0</v>
      </c>
      <c r="G52" s="61">
        <v>0</v>
      </c>
    </row>
    <row r="53" spans="1:7" ht="13.5" thickBot="1">
      <c r="A53" s="103" t="s">
        <v>235</v>
      </c>
      <c r="B53" s="61" t="s">
        <v>42</v>
      </c>
      <c r="C53" s="61" t="s">
        <v>36</v>
      </c>
      <c r="D53" s="61">
        <v>0</v>
      </c>
      <c r="E53" s="61">
        <v>0</v>
      </c>
      <c r="F53" s="61">
        <v>0</v>
      </c>
      <c r="G53" s="61">
        <v>0</v>
      </c>
    </row>
    <row r="54" spans="1:7" ht="13.5" customHeight="1" thickBot="1">
      <c r="A54" s="404" t="s">
        <v>236</v>
      </c>
      <c r="B54" s="405"/>
      <c r="C54" s="405"/>
      <c r="D54" s="405"/>
      <c r="E54" s="405"/>
      <c r="F54" s="405"/>
      <c r="G54" s="406"/>
    </row>
    <row r="55" spans="1:7" ht="13.5" thickBot="1">
      <c r="A55" s="102">
        <v>1</v>
      </c>
      <c r="B55" s="60" t="s">
        <v>237</v>
      </c>
      <c r="C55" s="60" t="s">
        <v>103</v>
      </c>
      <c r="D55" s="61"/>
      <c r="E55" s="61"/>
      <c r="F55" s="61"/>
      <c r="G55" s="60"/>
    </row>
    <row r="56" spans="1:7" ht="13.5" thickBot="1">
      <c r="A56" s="102" t="s">
        <v>19</v>
      </c>
      <c r="B56" s="60" t="s">
        <v>238</v>
      </c>
      <c r="C56" s="60" t="s">
        <v>103</v>
      </c>
      <c r="D56" s="61"/>
      <c r="E56" s="61"/>
      <c r="F56" s="61"/>
      <c r="G56" s="60"/>
    </row>
    <row r="57" spans="1:7" ht="13.5" thickBot="1">
      <c r="A57" s="102" t="s">
        <v>20</v>
      </c>
      <c r="B57" s="60" t="s">
        <v>239</v>
      </c>
      <c r="C57" s="60" t="s">
        <v>103</v>
      </c>
      <c r="D57" s="61"/>
      <c r="E57" s="61"/>
      <c r="F57" s="61"/>
      <c r="G57" s="60"/>
    </row>
    <row r="58" spans="1:7" ht="13.5" thickBot="1">
      <c r="A58" s="102" t="s">
        <v>66</v>
      </c>
      <c r="B58" s="60" t="s">
        <v>240</v>
      </c>
      <c r="C58" s="60" t="s">
        <v>103</v>
      </c>
      <c r="D58" s="61"/>
      <c r="E58" s="61"/>
      <c r="F58" s="61"/>
      <c r="G58" s="60"/>
    </row>
    <row r="59" spans="1:7" ht="13.5" thickBot="1">
      <c r="A59" s="102" t="s">
        <v>74</v>
      </c>
      <c r="B59" s="60" t="s">
        <v>241</v>
      </c>
      <c r="C59" s="60" t="s">
        <v>103</v>
      </c>
      <c r="D59" s="61"/>
      <c r="E59" s="61"/>
      <c r="F59" s="61"/>
      <c r="G59" s="60"/>
    </row>
    <row r="60" spans="1:7" ht="26.25" thickBot="1">
      <c r="A60" s="102">
        <v>2</v>
      </c>
      <c r="B60" s="60" t="s">
        <v>210</v>
      </c>
      <c r="C60" s="60" t="s">
        <v>211</v>
      </c>
      <c r="D60" s="60"/>
      <c r="E60" s="60"/>
      <c r="F60" s="61"/>
      <c r="G60" s="60"/>
    </row>
    <row r="61" spans="1:7" ht="26.25" thickBot="1">
      <c r="A61" s="102">
        <v>3</v>
      </c>
      <c r="B61" s="60" t="s">
        <v>212</v>
      </c>
      <c r="C61" s="60" t="s">
        <v>213</v>
      </c>
      <c r="D61" s="60"/>
      <c r="E61" s="60"/>
      <c r="F61" s="61"/>
      <c r="G61" s="60"/>
    </row>
    <row r="62" spans="1:11" ht="26.25" thickBot="1">
      <c r="A62" s="102">
        <v>4</v>
      </c>
      <c r="B62" s="60" t="s">
        <v>242</v>
      </c>
      <c r="C62" s="60" t="s">
        <v>18</v>
      </c>
      <c r="D62" s="60">
        <v>33110.826</v>
      </c>
      <c r="E62" s="60">
        <v>38729.689</v>
      </c>
      <c r="F62" s="60">
        <v>44107.339</v>
      </c>
      <c r="G62" s="61">
        <v>46086.164</v>
      </c>
      <c r="I62" s="70"/>
      <c r="J62" s="70"/>
      <c r="K62" s="70"/>
    </row>
    <row r="63" spans="1:11" ht="13.5" thickBot="1">
      <c r="A63" s="102" t="s">
        <v>26</v>
      </c>
      <c r="B63" s="60" t="s">
        <v>243</v>
      </c>
      <c r="C63" s="60" t="s">
        <v>18</v>
      </c>
      <c r="D63" s="98">
        <v>22859.206</v>
      </c>
      <c r="E63" s="98">
        <v>26281.932</v>
      </c>
      <c r="F63" s="98">
        <v>26909.262</v>
      </c>
      <c r="G63" s="61">
        <v>25869.118</v>
      </c>
      <c r="I63" s="70"/>
      <c r="J63" s="70"/>
      <c r="K63" s="70"/>
    </row>
    <row r="64" spans="1:11" ht="13.5" thickBot="1">
      <c r="A64" s="102" t="s">
        <v>244</v>
      </c>
      <c r="B64" s="60" t="s">
        <v>245</v>
      </c>
      <c r="C64" s="60" t="s">
        <v>18</v>
      </c>
      <c r="D64" s="60">
        <v>10819.58</v>
      </c>
      <c r="E64" s="60">
        <v>19324.775</v>
      </c>
      <c r="F64" s="60" t="s">
        <v>372</v>
      </c>
      <c r="G64" s="61" t="s">
        <v>372</v>
      </c>
      <c r="I64" s="70"/>
      <c r="J64" s="70"/>
      <c r="K64" s="70"/>
    </row>
    <row r="65" spans="1:11" ht="26.25" thickBot="1">
      <c r="A65" s="102" t="s">
        <v>166</v>
      </c>
      <c r="B65" s="60" t="s">
        <v>246</v>
      </c>
      <c r="C65" s="60" t="s">
        <v>18</v>
      </c>
      <c r="D65" s="60">
        <v>0</v>
      </c>
      <c r="E65" s="60">
        <v>0</v>
      </c>
      <c r="F65" s="60">
        <v>0</v>
      </c>
      <c r="G65" s="61">
        <v>0</v>
      </c>
      <c r="I65" s="70"/>
      <c r="J65" s="70"/>
      <c r="K65" s="70"/>
    </row>
    <row r="66" spans="1:11" ht="13.5" thickBot="1">
      <c r="A66" s="102" t="s">
        <v>247</v>
      </c>
      <c r="B66" s="60" t="s">
        <v>245</v>
      </c>
      <c r="C66" s="60" t="s">
        <v>18</v>
      </c>
      <c r="D66" s="60" t="s">
        <v>372</v>
      </c>
      <c r="E66" s="60" t="s">
        <v>372</v>
      </c>
      <c r="F66" s="60" t="s">
        <v>372</v>
      </c>
      <c r="G66" s="61" t="s">
        <v>372</v>
      </c>
      <c r="I66" s="71"/>
      <c r="J66" s="71"/>
      <c r="K66" s="71"/>
    </row>
    <row r="67" spans="1:7" ht="13.5" thickBot="1">
      <c r="A67" s="102" t="s">
        <v>248</v>
      </c>
      <c r="B67" s="60" t="s">
        <v>40</v>
      </c>
      <c r="C67" s="60" t="s">
        <v>18</v>
      </c>
      <c r="D67" s="98">
        <v>8832.559</v>
      </c>
      <c r="E67" s="98">
        <v>10367.814</v>
      </c>
      <c r="F67" s="98">
        <v>14568.615</v>
      </c>
      <c r="G67" s="61">
        <v>16701.154</v>
      </c>
    </row>
    <row r="68" spans="1:7" ht="13.5" thickBot="1">
      <c r="A68" s="102" t="s">
        <v>249</v>
      </c>
      <c r="B68" s="60" t="s">
        <v>245</v>
      </c>
      <c r="C68" s="60" t="s">
        <v>18</v>
      </c>
      <c r="D68" s="60">
        <v>7241.866</v>
      </c>
      <c r="E68" s="60">
        <v>8384.307</v>
      </c>
      <c r="F68" s="60" t="s">
        <v>372</v>
      </c>
      <c r="G68" s="61" t="s">
        <v>372</v>
      </c>
    </row>
    <row r="69" spans="1:7" ht="13.5" thickBot="1">
      <c r="A69" s="102" t="s">
        <v>250</v>
      </c>
      <c r="B69" s="60" t="s">
        <v>42</v>
      </c>
      <c r="C69" s="60" t="s">
        <v>18</v>
      </c>
      <c r="D69" s="98">
        <v>1419.061</v>
      </c>
      <c r="E69" s="98">
        <v>2079.943</v>
      </c>
      <c r="F69" s="98">
        <v>2631.047</v>
      </c>
      <c r="G69" s="61">
        <v>3515.891</v>
      </c>
    </row>
    <row r="70" spans="1:7" ht="13.5" thickBot="1">
      <c r="A70" s="102" t="s">
        <v>251</v>
      </c>
      <c r="B70" s="60" t="s">
        <v>245</v>
      </c>
      <c r="C70" s="60" t="s">
        <v>18</v>
      </c>
      <c r="D70" s="60">
        <v>782.23</v>
      </c>
      <c r="E70" s="60">
        <v>1068.851</v>
      </c>
      <c r="F70" s="60" t="s">
        <v>372</v>
      </c>
      <c r="G70" s="61" t="s">
        <v>372</v>
      </c>
    </row>
    <row r="71" spans="1:7" ht="13.5" thickBot="1">
      <c r="A71" s="102">
        <v>5</v>
      </c>
      <c r="B71" s="60" t="s">
        <v>214</v>
      </c>
      <c r="C71" s="60" t="s">
        <v>53</v>
      </c>
      <c r="D71" s="60"/>
      <c r="E71" s="60"/>
      <c r="F71" s="99"/>
      <c r="G71" s="60"/>
    </row>
    <row r="72" spans="1:7" ht="26.25" thickBot="1">
      <c r="A72" s="102">
        <v>6</v>
      </c>
      <c r="B72" s="60" t="s">
        <v>215</v>
      </c>
      <c r="C72" s="60" t="s">
        <v>53</v>
      </c>
      <c r="D72" s="60"/>
      <c r="E72" s="60"/>
      <c r="F72" s="61"/>
      <c r="G72" s="60"/>
    </row>
    <row r="73" spans="1:7" ht="13.5" thickBot="1">
      <c r="A73" s="102" t="s">
        <v>37</v>
      </c>
      <c r="B73" s="60" t="s">
        <v>217</v>
      </c>
      <c r="C73" s="60" t="s">
        <v>53</v>
      </c>
      <c r="D73" s="60"/>
      <c r="E73" s="60"/>
      <c r="F73" s="61"/>
      <c r="G73" s="60"/>
    </row>
    <row r="74" spans="1:7" ht="13.5" thickBot="1">
      <c r="A74" s="102">
        <v>7</v>
      </c>
      <c r="B74" s="60" t="s">
        <v>218</v>
      </c>
      <c r="C74" s="60" t="s">
        <v>53</v>
      </c>
      <c r="D74" s="60"/>
      <c r="E74" s="60"/>
      <c r="F74" s="61"/>
      <c r="G74" s="60"/>
    </row>
    <row r="75" spans="1:7" ht="13.5" thickBot="1">
      <c r="A75" s="102">
        <v>8</v>
      </c>
      <c r="B75" s="60" t="s">
        <v>219</v>
      </c>
      <c r="C75" s="60" t="s">
        <v>53</v>
      </c>
      <c r="D75" s="60"/>
      <c r="E75" s="60"/>
      <c r="F75" s="61"/>
      <c r="G75" s="60"/>
    </row>
    <row r="76" spans="1:7" ht="12.75">
      <c r="A76" s="407"/>
      <c r="B76" s="407"/>
      <c r="C76" s="407"/>
      <c r="D76" s="407"/>
      <c r="E76" s="407"/>
      <c r="F76" s="407"/>
      <c r="G76" s="407"/>
    </row>
    <row r="77" spans="1:7" ht="14.25" customHeight="1">
      <c r="A77" s="394" t="s">
        <v>252</v>
      </c>
      <c r="B77" s="394"/>
      <c r="C77" s="394"/>
      <c r="D77" s="394"/>
      <c r="E77" s="394"/>
      <c r="F77" s="394"/>
      <c r="G77" s="394"/>
    </row>
    <row r="78" spans="1:7" ht="12.75">
      <c r="A78" s="309"/>
      <c r="B78" s="309"/>
      <c r="C78" s="309"/>
      <c r="D78" s="309"/>
      <c r="E78" s="309"/>
      <c r="F78" s="309"/>
      <c r="G78" s="309"/>
    </row>
    <row r="79" spans="1:7" ht="12.75">
      <c r="A79" s="312"/>
      <c r="B79" s="312"/>
      <c r="C79" s="312"/>
      <c r="D79" s="312"/>
      <c r="E79" s="312"/>
      <c r="F79" s="312"/>
      <c r="G79" s="312"/>
    </row>
    <row r="80" spans="1:7" ht="12.75">
      <c r="A80" s="309"/>
      <c r="B80" s="309"/>
      <c r="C80" s="309"/>
      <c r="D80" s="309"/>
      <c r="E80" s="309"/>
      <c r="F80" s="309"/>
      <c r="G80" s="309"/>
    </row>
    <row r="81" spans="1:7" ht="12.75" customHeight="1">
      <c r="A81" s="312" t="s">
        <v>373</v>
      </c>
      <c r="B81" s="312"/>
      <c r="C81" s="312"/>
      <c r="D81" s="312"/>
      <c r="E81" s="312"/>
      <c r="F81" s="312"/>
      <c r="G81" s="312"/>
    </row>
    <row r="82" spans="1:7" ht="12.75">
      <c r="A82" s="309"/>
      <c r="B82" s="309"/>
      <c r="C82" s="309"/>
      <c r="D82" s="309"/>
      <c r="E82" s="309"/>
      <c r="F82" s="309"/>
      <c r="G82" s="309"/>
    </row>
    <row r="83" spans="1:7" ht="12.75" customHeight="1">
      <c r="A83" s="312" t="s">
        <v>43</v>
      </c>
      <c r="B83" s="312"/>
      <c r="C83" s="312"/>
      <c r="D83" s="312"/>
      <c r="E83" s="312"/>
      <c r="F83" s="312"/>
      <c r="G83" s="312"/>
    </row>
    <row r="84" spans="1:7" ht="12.75">
      <c r="A84" s="309"/>
      <c r="B84" s="309"/>
      <c r="C84" s="309"/>
      <c r="D84" s="309"/>
      <c r="E84" s="309"/>
      <c r="F84" s="309"/>
      <c r="G84" s="309"/>
    </row>
    <row r="85" spans="1:7" ht="12.75" customHeight="1">
      <c r="A85" s="312" t="s">
        <v>0</v>
      </c>
      <c r="B85" s="312"/>
      <c r="C85" s="312"/>
      <c r="D85" s="312"/>
      <c r="E85" s="312"/>
      <c r="F85" s="312"/>
      <c r="G85" s="312"/>
    </row>
    <row r="86" spans="1:7" ht="12.75">
      <c r="A86" s="408"/>
      <c r="B86" s="408"/>
      <c r="C86" s="408"/>
      <c r="D86" s="408"/>
      <c r="E86" s="408"/>
      <c r="F86" s="408"/>
      <c r="G86" s="408"/>
    </row>
    <row r="87" spans="2:6" ht="12.75">
      <c r="B87" s="80">
        <v>0.411</v>
      </c>
      <c r="C87" s="79"/>
      <c r="D87" s="79"/>
      <c r="E87" s="79"/>
      <c r="F87" s="79"/>
    </row>
    <row r="88" spans="2:6" ht="12.75">
      <c r="B88" s="80">
        <v>0.271</v>
      </c>
      <c r="C88" s="79"/>
      <c r="D88" s="79"/>
      <c r="E88" s="79"/>
      <c r="F88" s="79"/>
    </row>
    <row r="89" spans="2:6" ht="12.75">
      <c r="B89" s="80">
        <v>0.318</v>
      </c>
      <c r="C89" s="79"/>
      <c r="D89" s="79"/>
      <c r="E89" s="79"/>
      <c r="F89" s="79"/>
    </row>
    <row r="90" spans="2:6" ht="12.75">
      <c r="B90" s="79" t="s">
        <v>324</v>
      </c>
      <c r="C90" s="79">
        <v>5535418</v>
      </c>
      <c r="D90" s="79">
        <f>C90*B87/1000</f>
        <v>2275.056798</v>
      </c>
      <c r="E90" s="79"/>
      <c r="F90" s="79"/>
    </row>
    <row r="91" spans="2:6" ht="12.75">
      <c r="B91" s="79"/>
      <c r="C91" s="79">
        <v>3065112</v>
      </c>
      <c r="D91" s="79">
        <f>C91*B87/1000</f>
        <v>1259.761032</v>
      </c>
      <c r="E91" s="79"/>
      <c r="F91" s="79">
        <v>2243961</v>
      </c>
    </row>
    <row r="92" spans="2:6" ht="12.75">
      <c r="B92" s="79"/>
      <c r="C92" s="79"/>
      <c r="D92" s="79">
        <f>C91*B88/1000</f>
        <v>830.6453520000001</v>
      </c>
      <c r="E92" s="79"/>
      <c r="F92" s="79"/>
    </row>
    <row r="93" spans="2:6" ht="12.75">
      <c r="B93" s="79"/>
      <c r="C93" s="79"/>
      <c r="D93" s="79">
        <f>C91*B89/1000</f>
        <v>974.7056160000001</v>
      </c>
      <c r="E93" s="79"/>
      <c r="F93" s="79"/>
    </row>
    <row r="94" spans="2:6" ht="12.75">
      <c r="B94" s="79"/>
      <c r="C94" s="79"/>
      <c r="D94" s="79">
        <f>D93+D92+D91</f>
        <v>3065.112</v>
      </c>
      <c r="E94" s="79"/>
      <c r="F94" s="79"/>
    </row>
    <row r="95" spans="2:6" ht="12.75">
      <c r="B95" s="79"/>
      <c r="C95" s="79"/>
      <c r="D95" s="79"/>
      <c r="E95" s="79"/>
      <c r="F95" s="79"/>
    </row>
    <row r="96" spans="2:6" ht="12.75">
      <c r="B96" s="79"/>
      <c r="C96" s="79">
        <v>4883067</v>
      </c>
      <c r="D96" s="79"/>
      <c r="E96" s="79"/>
      <c r="F96" s="79"/>
    </row>
    <row r="97" spans="2:6" ht="12.75">
      <c r="B97" s="79"/>
      <c r="C97" s="79"/>
      <c r="D97" s="79"/>
      <c r="E97" s="79"/>
      <c r="F97" s="79"/>
    </row>
  </sheetData>
  <sheetProtection/>
  <mergeCells count="27">
    <mergeCell ref="A76:G76"/>
    <mergeCell ref="A86:G86"/>
    <mergeCell ref="A81:G81"/>
    <mergeCell ref="A82:G82"/>
    <mergeCell ref="A83:G83"/>
    <mergeCell ref="A84:G84"/>
    <mergeCell ref="A78:G78"/>
    <mergeCell ref="A79:G79"/>
    <mergeCell ref="A80:G80"/>
    <mergeCell ref="A85:G85"/>
    <mergeCell ref="A77:G77"/>
    <mergeCell ref="A10:A12"/>
    <mergeCell ref="B10:B12"/>
    <mergeCell ref="C10:C12"/>
    <mergeCell ref="D10:D12"/>
    <mergeCell ref="E10:E12"/>
    <mergeCell ref="F10:F12"/>
    <mergeCell ref="A14:G14"/>
    <mergeCell ref="A31:G31"/>
    <mergeCell ref="A54:G54"/>
    <mergeCell ref="A8:G8"/>
    <mergeCell ref="A9:G9"/>
    <mergeCell ref="G10:G12"/>
    <mergeCell ref="D1:G4"/>
    <mergeCell ref="A5:G5"/>
    <mergeCell ref="A6:G6"/>
    <mergeCell ref="A7:G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B20"/>
  <sheetViews>
    <sheetView zoomScalePageLayoutView="0" workbookViewId="0" topLeftCell="A1">
      <selection activeCell="J35" sqref="J35"/>
    </sheetView>
  </sheetViews>
  <sheetFormatPr defaultColWidth="9.140625" defaultRowHeight="12.75"/>
  <sheetData>
    <row r="1" ht="12.75">
      <c r="A1" t="s">
        <v>331</v>
      </c>
    </row>
    <row r="4" ht="18">
      <c r="B4" s="67" t="s">
        <v>332</v>
      </c>
    </row>
    <row r="8" ht="12.75">
      <c r="B8" t="s">
        <v>376</v>
      </c>
    </row>
    <row r="12" ht="12.75">
      <c r="B12" t="s">
        <v>377</v>
      </c>
    </row>
    <row r="16" ht="12.75">
      <c r="B16" t="s">
        <v>333</v>
      </c>
    </row>
    <row r="20" ht="12.75">
      <c r="B20" t="s">
        <v>378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</sheetPr>
  <dimension ref="A1:M64"/>
  <sheetViews>
    <sheetView zoomScalePageLayoutView="0" workbookViewId="0" topLeftCell="A40">
      <selection activeCell="D13" sqref="A13:G56"/>
    </sheetView>
  </sheetViews>
  <sheetFormatPr defaultColWidth="9.140625" defaultRowHeight="12.75"/>
  <cols>
    <col min="1" max="1" width="6.28125" style="7" customWidth="1"/>
    <col min="2" max="2" width="41.7109375" style="11" customWidth="1"/>
    <col min="4" max="4" width="11.57421875" style="0" customWidth="1"/>
    <col min="5" max="5" width="13.57421875" style="0" customWidth="1"/>
    <col min="6" max="6" width="14.140625" style="0" customWidth="1"/>
    <col min="7" max="7" width="14.00390625" style="0" customWidth="1"/>
    <col min="8" max="8" width="11.57421875" style="0" customWidth="1"/>
    <col min="9" max="9" width="10.57421875" style="0" customWidth="1"/>
    <col min="10" max="10" width="14.421875" style="0" customWidth="1"/>
  </cols>
  <sheetData>
    <row r="1" spans="1:7" ht="12.75" customHeight="1">
      <c r="A1" s="9"/>
      <c r="B1" s="1"/>
      <c r="C1" s="1"/>
      <c r="D1" s="1"/>
      <c r="E1" s="1"/>
      <c r="F1" s="345" t="s">
        <v>253</v>
      </c>
      <c r="G1" s="345"/>
    </row>
    <row r="2" spans="1:7" ht="12.75">
      <c r="A2" s="10"/>
      <c r="B2" s="3"/>
      <c r="C2" s="3"/>
      <c r="D2" s="3"/>
      <c r="E2" s="3"/>
      <c r="F2" s="345"/>
      <c r="G2" s="345"/>
    </row>
    <row r="3" spans="1:7" ht="12.75" customHeight="1">
      <c r="A3" s="9"/>
      <c r="B3" s="1"/>
      <c r="C3" s="1"/>
      <c r="D3" s="1"/>
      <c r="E3" s="1"/>
      <c r="F3" s="345"/>
      <c r="G3" s="345"/>
    </row>
    <row r="4" spans="1:7" ht="12.75">
      <c r="A4" s="10"/>
      <c r="B4" s="3"/>
      <c r="C4" s="3"/>
      <c r="D4" s="3"/>
      <c r="E4" s="3"/>
      <c r="F4" s="345"/>
      <c r="G4" s="345"/>
    </row>
    <row r="5" spans="1:7" ht="12.75">
      <c r="A5" s="10"/>
      <c r="B5" s="3"/>
      <c r="C5" s="3"/>
      <c r="D5" s="3"/>
      <c r="E5" s="3"/>
      <c r="F5" s="3"/>
      <c r="G5" s="3"/>
    </row>
    <row r="6" spans="1:7" ht="12.75" customHeight="1">
      <c r="A6" s="409" t="s">
        <v>44</v>
      </c>
      <c r="B6" s="409"/>
      <c r="C6" s="409"/>
      <c r="D6" s="409"/>
      <c r="E6" s="409"/>
      <c r="F6" s="409"/>
      <c r="G6" s="409"/>
    </row>
    <row r="7" spans="1:7" ht="12.75" customHeight="1">
      <c r="A7" s="409" t="s">
        <v>254</v>
      </c>
      <c r="B7" s="409"/>
      <c r="C7" s="409"/>
      <c r="D7" s="409"/>
      <c r="E7" s="409"/>
      <c r="F7" s="409"/>
      <c r="G7" s="409"/>
    </row>
    <row r="8" spans="1:7" ht="12.75" customHeight="1">
      <c r="A8" s="410" t="s">
        <v>327</v>
      </c>
      <c r="B8" s="410"/>
      <c r="C8" s="410"/>
      <c r="D8" s="410"/>
      <c r="E8" s="410"/>
      <c r="F8" s="410"/>
      <c r="G8" s="410"/>
    </row>
    <row r="9" spans="1:7" ht="12.75">
      <c r="A9" s="347" t="s">
        <v>255</v>
      </c>
      <c r="B9" s="347"/>
      <c r="C9" s="347"/>
      <c r="D9" s="347"/>
      <c r="E9" s="347"/>
      <c r="F9" s="347"/>
      <c r="G9" s="347"/>
    </row>
    <row r="10" spans="1:7" ht="50.25" customHeight="1">
      <c r="A10" s="413" t="s">
        <v>1</v>
      </c>
      <c r="B10" s="414" t="s">
        <v>256</v>
      </c>
      <c r="C10" s="414" t="s">
        <v>47</v>
      </c>
      <c r="D10" s="414" t="s">
        <v>257</v>
      </c>
      <c r="E10" s="415" t="s">
        <v>258</v>
      </c>
      <c r="F10" s="416"/>
      <c r="G10" s="417"/>
    </row>
    <row r="11" spans="1:7" ht="26.25" customHeight="1">
      <c r="A11" s="413"/>
      <c r="B11" s="414"/>
      <c r="C11" s="414"/>
      <c r="D11" s="414"/>
      <c r="E11" s="16" t="s">
        <v>38</v>
      </c>
      <c r="F11" s="16" t="s">
        <v>259</v>
      </c>
      <c r="G11" s="16" t="s">
        <v>241</v>
      </c>
    </row>
    <row r="12" spans="1:7" ht="12.75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5.5">
      <c r="A13" s="68">
        <v>1</v>
      </c>
      <c r="B13" s="100" t="s">
        <v>260</v>
      </c>
      <c r="C13" s="68" t="s">
        <v>18</v>
      </c>
      <c r="D13" s="68">
        <f>E13+F13+G13</f>
        <v>43966.381</v>
      </c>
      <c r="E13" s="68">
        <v>27419.778</v>
      </c>
      <c r="F13" s="68">
        <v>13528.127</v>
      </c>
      <c r="G13" s="68">
        <v>3018.476</v>
      </c>
    </row>
    <row r="14" spans="1:7" ht="25.5">
      <c r="A14" s="68">
        <v>2</v>
      </c>
      <c r="B14" s="100" t="s">
        <v>200</v>
      </c>
      <c r="C14" s="68" t="s">
        <v>36</v>
      </c>
      <c r="D14" s="68">
        <f>E14+F14+G14</f>
        <v>22.773899999999998</v>
      </c>
      <c r="E14" s="68">
        <v>14.2028</v>
      </c>
      <c r="F14" s="68">
        <v>7.008</v>
      </c>
      <c r="G14" s="68">
        <v>1.5631</v>
      </c>
    </row>
    <row r="15" spans="1:7" ht="12.75">
      <c r="A15" s="68"/>
      <c r="B15" s="411" t="s">
        <v>198</v>
      </c>
      <c r="C15" s="411"/>
      <c r="D15" s="411"/>
      <c r="E15" s="411"/>
      <c r="F15" s="411"/>
      <c r="G15" s="411"/>
    </row>
    <row r="16" spans="1:13" ht="25.5">
      <c r="A16" s="68">
        <v>3</v>
      </c>
      <c r="B16" s="100" t="s">
        <v>261</v>
      </c>
      <c r="C16" s="68" t="s">
        <v>53</v>
      </c>
      <c r="D16" s="68">
        <f>E16+F16+G16</f>
        <v>0</v>
      </c>
      <c r="E16" s="68">
        <f>'Виробництво 3'!K37</f>
        <v>0</v>
      </c>
      <c r="F16" s="68">
        <f>'Виробництво 3'!O37</f>
        <v>0</v>
      </c>
      <c r="G16" s="68">
        <f>'Виробництво 3'!S37</f>
        <v>0</v>
      </c>
      <c r="H16" s="92">
        <f>G16+F16+E16</f>
        <v>0</v>
      </c>
      <c r="I16" s="86"/>
      <c r="J16" s="86"/>
      <c r="K16" s="86"/>
      <c r="L16" s="86"/>
      <c r="M16" s="86"/>
    </row>
    <row r="17" spans="1:13" ht="12.75">
      <c r="A17" s="68" t="s">
        <v>83</v>
      </c>
      <c r="B17" s="100" t="s">
        <v>262</v>
      </c>
      <c r="C17" s="68" t="s">
        <v>53</v>
      </c>
      <c r="D17" s="68">
        <f>D18+D19</f>
        <v>0</v>
      </c>
      <c r="E17" s="68">
        <f>E18+E19</f>
        <v>0</v>
      </c>
      <c r="F17" s="68">
        <f>F18+F19</f>
        <v>0</v>
      </c>
      <c r="G17" s="68">
        <f>G18+G19</f>
        <v>0</v>
      </c>
      <c r="H17" s="92">
        <f aca="true" t="shared" si="0" ref="H17:H28">G17+F17+E17</f>
        <v>0</v>
      </c>
      <c r="I17" s="86"/>
      <c r="J17" s="86"/>
      <c r="K17" s="86"/>
      <c r="L17" s="86"/>
      <c r="M17" s="86"/>
    </row>
    <row r="18" spans="1:13" ht="25.5">
      <c r="A18" s="68" t="s">
        <v>263</v>
      </c>
      <c r="B18" s="100" t="s">
        <v>264</v>
      </c>
      <c r="C18" s="68" t="s">
        <v>53</v>
      </c>
      <c r="D18" s="68">
        <f>E18+F18+G18</f>
        <v>0</v>
      </c>
      <c r="E18" s="68">
        <f>'Виробництво 3'!K17</f>
        <v>0</v>
      </c>
      <c r="F18" s="68">
        <f>'Виробництво 3'!O17</f>
        <v>0</v>
      </c>
      <c r="G18" s="68">
        <f>'Виробництво 3'!S17</f>
        <v>0</v>
      </c>
      <c r="H18" s="92">
        <f t="shared" si="0"/>
        <v>0</v>
      </c>
      <c r="I18" s="86"/>
      <c r="J18" s="86"/>
      <c r="K18" s="86"/>
      <c r="L18" s="86"/>
      <c r="M18" s="86"/>
    </row>
    <row r="19" spans="1:13" ht="25.5">
      <c r="A19" s="68" t="s">
        <v>265</v>
      </c>
      <c r="B19" s="100" t="s">
        <v>266</v>
      </c>
      <c r="C19" s="68" t="s">
        <v>53</v>
      </c>
      <c r="D19" s="68">
        <f>E19+F19+G19</f>
        <v>0</v>
      </c>
      <c r="E19" s="68">
        <f>'Виробництво 3'!K18</f>
        <v>0</v>
      </c>
      <c r="F19" s="68">
        <f>'Виробництво 3'!O18</f>
        <v>0</v>
      </c>
      <c r="G19" s="68">
        <f>'Виробництво 3'!S18</f>
        <v>0</v>
      </c>
      <c r="H19" s="92">
        <f t="shared" si="0"/>
        <v>0</v>
      </c>
      <c r="I19" s="86" t="s">
        <v>338</v>
      </c>
      <c r="J19" s="86"/>
      <c r="K19" s="86"/>
      <c r="L19" s="86"/>
      <c r="M19" s="86"/>
    </row>
    <row r="20" spans="1:13" ht="39" customHeight="1">
      <c r="A20" s="68" t="s">
        <v>267</v>
      </c>
      <c r="B20" s="100" t="s">
        <v>268</v>
      </c>
      <c r="C20" s="68" t="s">
        <v>53</v>
      </c>
      <c r="D20" s="68">
        <v>0</v>
      </c>
      <c r="E20" s="68">
        <v>0</v>
      </c>
      <c r="F20" s="68">
        <v>0</v>
      </c>
      <c r="G20" s="68">
        <v>0</v>
      </c>
      <c r="H20" s="92">
        <f t="shared" si="0"/>
        <v>0</v>
      </c>
      <c r="I20" s="86" t="e">
        <f>(E17+E23)/E13*1000</f>
        <v>#DIV/0!</v>
      </c>
      <c r="J20" s="86"/>
      <c r="K20" s="86"/>
      <c r="L20" s="86"/>
      <c r="M20" s="86"/>
    </row>
    <row r="21" spans="1:13" ht="38.25">
      <c r="A21" s="68" t="s">
        <v>84</v>
      </c>
      <c r="B21" s="100" t="s">
        <v>269</v>
      </c>
      <c r="C21" s="68" t="s">
        <v>53</v>
      </c>
      <c r="D21" s="68">
        <f>D16-D17</f>
        <v>0</v>
      </c>
      <c r="E21" s="68">
        <f>E16-E17</f>
        <v>0</v>
      </c>
      <c r="F21" s="68">
        <f>F16-F17</f>
        <v>0</v>
      </c>
      <c r="G21" s="68">
        <f>G16-G17</f>
        <v>0</v>
      </c>
      <c r="H21" s="92">
        <f t="shared" si="0"/>
        <v>0</v>
      </c>
      <c r="I21" s="86"/>
      <c r="J21" s="86"/>
      <c r="K21" s="86"/>
      <c r="L21" s="86"/>
      <c r="M21" s="86"/>
    </row>
    <row r="22" spans="1:13" ht="25.5">
      <c r="A22" s="68">
        <v>4</v>
      </c>
      <c r="B22" s="100" t="s">
        <v>270</v>
      </c>
      <c r="C22" s="68" t="s">
        <v>53</v>
      </c>
      <c r="D22" s="68">
        <f>E22+F22+G22</f>
        <v>0</v>
      </c>
      <c r="E22" s="68">
        <f>'Виробництво 3'!K39</f>
        <v>0</v>
      </c>
      <c r="F22" s="68">
        <f>'Виробництво 3'!O39</f>
        <v>0</v>
      </c>
      <c r="G22" s="68">
        <f>'Виробництво 3'!S39</f>
        <v>0</v>
      </c>
      <c r="H22" s="92">
        <f t="shared" si="0"/>
        <v>0</v>
      </c>
      <c r="I22" s="92">
        <f>E21/193728/12*1000</f>
        <v>0</v>
      </c>
      <c r="J22" s="86" t="s">
        <v>334</v>
      </c>
      <c r="K22" s="86"/>
      <c r="L22" s="86"/>
      <c r="M22" s="86"/>
    </row>
    <row r="23" spans="1:13" ht="12.75">
      <c r="A23" s="68" t="s">
        <v>26</v>
      </c>
      <c r="B23" s="100" t="s">
        <v>271</v>
      </c>
      <c r="C23" s="68" t="s">
        <v>53</v>
      </c>
      <c r="D23" s="68" t="e">
        <f>E23+F23+G23</f>
        <v>#DIV/0!</v>
      </c>
      <c r="E23" s="68" t="e">
        <f>E22*E17/E16</f>
        <v>#DIV/0!</v>
      </c>
      <c r="F23" s="68" t="e">
        <f>F22*F17/F16</f>
        <v>#DIV/0!</v>
      </c>
      <c r="G23" s="68" t="e">
        <f>G22*G17/G16</f>
        <v>#DIV/0!</v>
      </c>
      <c r="H23" s="92" t="e">
        <f t="shared" si="0"/>
        <v>#DIV/0!</v>
      </c>
      <c r="I23" s="86">
        <f>E35/193728/12*1000</f>
        <v>0</v>
      </c>
      <c r="J23" s="86" t="s">
        <v>335</v>
      </c>
      <c r="K23" s="86"/>
      <c r="L23" s="86"/>
      <c r="M23" s="86"/>
    </row>
    <row r="24" spans="1:13" ht="12.75">
      <c r="A24" s="68" t="s">
        <v>166</v>
      </c>
      <c r="B24" s="100" t="s">
        <v>272</v>
      </c>
      <c r="C24" s="68" t="s">
        <v>53</v>
      </c>
      <c r="D24" s="68" t="e">
        <f>E24+F24+G24</f>
        <v>#DIV/0!</v>
      </c>
      <c r="E24" s="68" t="e">
        <f>E22*E21/E16</f>
        <v>#DIV/0!</v>
      </c>
      <c r="F24" s="68" t="e">
        <f>F22*F21/F16</f>
        <v>#DIV/0!</v>
      </c>
      <c r="G24" s="68" t="e">
        <f>G22*G21/G16</f>
        <v>#DIV/0!</v>
      </c>
      <c r="H24" s="92" t="e">
        <f t="shared" si="0"/>
        <v>#DIV/0!</v>
      </c>
      <c r="I24" s="86">
        <f>E42/193728/12*1000</f>
        <v>0</v>
      </c>
      <c r="J24" s="86" t="s">
        <v>336</v>
      </c>
      <c r="K24" s="86"/>
      <c r="L24" s="86"/>
      <c r="M24" s="86"/>
    </row>
    <row r="25" spans="1:13" ht="25.5">
      <c r="A25" s="68">
        <v>5</v>
      </c>
      <c r="B25" s="100" t="s">
        <v>273</v>
      </c>
      <c r="C25" s="68" t="s">
        <v>101</v>
      </c>
      <c r="D25" s="68" t="e">
        <f>D26+D27</f>
        <v>#DIV/0!</v>
      </c>
      <c r="E25" s="68" t="e">
        <f>E26+E27</f>
        <v>#DIV/0!</v>
      </c>
      <c r="F25" s="68" t="e">
        <f>F26+F27</f>
        <v>#DIV/0!</v>
      </c>
      <c r="G25" s="68" t="e">
        <f>G26+G27</f>
        <v>#DIV/0!</v>
      </c>
      <c r="H25" s="92" t="e">
        <f t="shared" si="0"/>
        <v>#DIV/0!</v>
      </c>
      <c r="I25" s="92">
        <f>I22+I23+I24</f>
        <v>0</v>
      </c>
      <c r="J25" s="86" t="s">
        <v>337</v>
      </c>
      <c r="K25" s="86"/>
      <c r="L25" s="86"/>
      <c r="M25" s="86"/>
    </row>
    <row r="26" spans="1:13" ht="12.75">
      <c r="A26" s="68" t="s">
        <v>27</v>
      </c>
      <c r="B26" s="100" t="s">
        <v>274</v>
      </c>
      <c r="C26" s="68" t="s">
        <v>101</v>
      </c>
      <c r="D26" s="68">
        <f>D17/D13*1000</f>
        <v>0</v>
      </c>
      <c r="E26" s="68">
        <f>E17/E13*1000</f>
        <v>0</v>
      </c>
      <c r="F26" s="68">
        <f>F17/F13*1000</f>
        <v>0</v>
      </c>
      <c r="G26" s="68">
        <f>G17/G13*1000</f>
        <v>0</v>
      </c>
      <c r="H26" s="92">
        <f t="shared" si="0"/>
        <v>0</v>
      </c>
      <c r="I26" s="86"/>
      <c r="J26" s="86"/>
      <c r="K26" s="86"/>
      <c r="L26" s="86"/>
      <c r="M26" s="86"/>
    </row>
    <row r="27" spans="1:13" ht="12.75">
      <c r="A27" s="68" t="s">
        <v>29</v>
      </c>
      <c r="B27" s="100" t="s">
        <v>275</v>
      </c>
      <c r="C27" s="68" t="s">
        <v>101</v>
      </c>
      <c r="D27" s="68" t="e">
        <f>D23/D13*1000</f>
        <v>#DIV/0!</v>
      </c>
      <c r="E27" s="68" t="e">
        <f>E23/E13*1000</f>
        <v>#DIV/0!</v>
      </c>
      <c r="F27" s="68" t="e">
        <f>F23/F13*1000</f>
        <v>#DIV/0!</v>
      </c>
      <c r="G27" s="68" t="e">
        <f>G23/G13*1000</f>
        <v>#DIV/0!</v>
      </c>
      <c r="H27" s="92" t="e">
        <f t="shared" si="0"/>
        <v>#DIV/0!</v>
      </c>
      <c r="I27" s="86"/>
      <c r="J27" s="86"/>
      <c r="K27" s="86"/>
      <c r="L27" s="86"/>
      <c r="M27" s="86"/>
    </row>
    <row r="28" spans="1:13" ht="12.75">
      <c r="A28" s="68" t="s">
        <v>30</v>
      </c>
      <c r="B28" s="100" t="s">
        <v>276</v>
      </c>
      <c r="C28" s="68" t="s">
        <v>25</v>
      </c>
      <c r="D28" s="68" t="e">
        <f>D27/D25*100</f>
        <v>#DIV/0!</v>
      </c>
      <c r="E28" s="68" t="e">
        <f>E27/E25*100</f>
        <v>#DIV/0!</v>
      </c>
      <c r="F28" s="68" t="e">
        <f>F27/F25*100</f>
        <v>#DIV/0!</v>
      </c>
      <c r="G28" s="68" t="e">
        <f>G27/G25*100</f>
        <v>#DIV/0!</v>
      </c>
      <c r="H28" s="92" t="e">
        <f t="shared" si="0"/>
        <v>#DIV/0!</v>
      </c>
      <c r="I28" s="86"/>
      <c r="J28" s="86"/>
      <c r="K28" s="86"/>
      <c r="L28" s="86"/>
      <c r="M28" s="86"/>
    </row>
    <row r="29" spans="1:13" ht="51">
      <c r="A29" s="68">
        <v>6</v>
      </c>
      <c r="B29" s="100" t="s">
        <v>277</v>
      </c>
      <c r="C29" s="68" t="s">
        <v>278</v>
      </c>
      <c r="D29" s="68" t="e">
        <f>D30+D31</f>
        <v>#DIV/0!</v>
      </c>
      <c r="E29" s="68" t="e">
        <f>E30+E31</f>
        <v>#DIV/0!</v>
      </c>
      <c r="F29" s="68" t="e">
        <f>F30+F31</f>
        <v>#DIV/0!</v>
      </c>
      <c r="G29" s="68" t="e">
        <f>G30+G31</f>
        <v>#DIV/0!</v>
      </c>
      <c r="H29" s="86"/>
      <c r="I29" s="93">
        <f>(E21+E35+E42)/193728/12*1000</f>
        <v>0</v>
      </c>
      <c r="J29" s="86" t="s">
        <v>339</v>
      </c>
      <c r="K29" s="86"/>
      <c r="L29" s="86"/>
      <c r="M29" s="86"/>
    </row>
    <row r="30" spans="1:13" ht="25.5">
      <c r="A30" s="68" t="s">
        <v>37</v>
      </c>
      <c r="B30" s="100" t="s">
        <v>279</v>
      </c>
      <c r="C30" s="68" t="s">
        <v>280</v>
      </c>
      <c r="D30" s="68">
        <f>D21/D14/12*1000</f>
        <v>0</v>
      </c>
      <c r="E30" s="68">
        <f>E21/E14/12*1000</f>
        <v>0</v>
      </c>
      <c r="F30" s="68">
        <f>F21/F14/12*1000</f>
        <v>0</v>
      </c>
      <c r="G30" s="68">
        <f>G21/G14/12*1000</f>
        <v>0</v>
      </c>
      <c r="H30" s="86"/>
      <c r="I30" s="86"/>
      <c r="J30" s="86"/>
      <c r="K30" s="86"/>
      <c r="L30" s="86"/>
      <c r="M30" s="86"/>
    </row>
    <row r="31" spans="1:13" ht="25.5">
      <c r="A31" s="68" t="s">
        <v>39</v>
      </c>
      <c r="B31" s="100" t="s">
        <v>281</v>
      </c>
      <c r="C31" s="68" t="s">
        <v>282</v>
      </c>
      <c r="D31" s="68" t="e">
        <f>D24/D14/12*1000</f>
        <v>#DIV/0!</v>
      </c>
      <c r="E31" s="68" t="e">
        <f>E24/E14/12*1000</f>
        <v>#DIV/0!</v>
      </c>
      <c r="F31" s="68" t="e">
        <f>F24/F14/12*1000</f>
        <v>#DIV/0!</v>
      </c>
      <c r="G31" s="68" t="e">
        <f>G24/G14/12*1000</f>
        <v>#DIV/0!</v>
      </c>
      <c r="H31" s="86"/>
      <c r="I31" s="86"/>
      <c r="J31" s="86"/>
      <c r="K31" s="86"/>
      <c r="L31" s="86"/>
      <c r="M31" s="86"/>
    </row>
    <row r="32" spans="1:13" ht="12.75">
      <c r="A32" s="68" t="s">
        <v>41</v>
      </c>
      <c r="B32" s="100" t="s">
        <v>276</v>
      </c>
      <c r="C32" s="68" t="s">
        <v>25</v>
      </c>
      <c r="D32" s="68" t="e">
        <f>D31/D29*100</f>
        <v>#DIV/0!</v>
      </c>
      <c r="E32" s="68" t="e">
        <f>E31/E29*100</f>
        <v>#DIV/0!</v>
      </c>
      <c r="F32" s="68" t="e">
        <f>F31/F29*100</f>
        <v>#DIV/0!</v>
      </c>
      <c r="G32" s="68" t="e">
        <f>G31/G29*100</f>
        <v>#DIV/0!</v>
      </c>
      <c r="H32" s="94"/>
      <c r="I32" s="86"/>
      <c r="J32" s="86"/>
      <c r="K32" s="86"/>
      <c r="L32" s="86"/>
      <c r="M32" s="86"/>
    </row>
    <row r="33" spans="1:13" ht="12.75">
      <c r="A33" s="66"/>
      <c r="B33" s="412" t="s">
        <v>220</v>
      </c>
      <c r="C33" s="412"/>
      <c r="D33" s="412"/>
      <c r="E33" s="412"/>
      <c r="F33" s="412"/>
      <c r="G33" s="412"/>
      <c r="H33" s="86"/>
      <c r="I33" s="86"/>
      <c r="J33" s="86"/>
      <c r="K33" s="86"/>
      <c r="L33" s="86"/>
      <c r="M33" s="86"/>
    </row>
    <row r="34" spans="1:13" ht="51">
      <c r="A34" s="66">
        <v>7</v>
      </c>
      <c r="B34" s="66" t="s">
        <v>283</v>
      </c>
      <c r="C34" s="66" t="s">
        <v>36</v>
      </c>
      <c r="D34" s="66">
        <f>E34+F34+G34</f>
        <v>22.773899999999998</v>
      </c>
      <c r="E34" s="66">
        <v>14.2028</v>
      </c>
      <c r="F34" s="66">
        <v>7.008</v>
      </c>
      <c r="G34" s="66">
        <v>1.5631</v>
      </c>
      <c r="H34" s="86"/>
      <c r="I34" s="86">
        <f>(F21+F35+F42)/F14/12</f>
        <v>0</v>
      </c>
      <c r="J34" s="86" t="s">
        <v>340</v>
      </c>
      <c r="K34" s="86"/>
      <c r="L34" s="86"/>
      <c r="M34" s="86"/>
    </row>
    <row r="35" spans="1:13" ht="38.25">
      <c r="A35" s="66">
        <v>8</v>
      </c>
      <c r="B35" s="66" t="s">
        <v>284</v>
      </c>
      <c r="C35" s="66" t="s">
        <v>53</v>
      </c>
      <c r="D35" s="66">
        <f>'Транспортування 4'!G36</f>
        <v>0</v>
      </c>
      <c r="E35" s="66">
        <f>D35*E34/D34</f>
        <v>0</v>
      </c>
      <c r="F35" s="66">
        <f>D35*F34/D34</f>
        <v>0</v>
      </c>
      <c r="G35" s="66">
        <f>D35*G34/D34</f>
        <v>0</v>
      </c>
      <c r="H35" s="86"/>
      <c r="I35" s="86"/>
      <c r="J35" s="86"/>
      <c r="K35" s="86"/>
      <c r="L35" s="86"/>
      <c r="M35" s="86"/>
    </row>
    <row r="36" spans="1:13" ht="25.5">
      <c r="A36" s="66">
        <v>9</v>
      </c>
      <c r="B36" s="66" t="s">
        <v>285</v>
      </c>
      <c r="C36" s="66" t="s">
        <v>53</v>
      </c>
      <c r="D36" s="66">
        <f>'Транспортування 4'!G38</f>
        <v>0</v>
      </c>
      <c r="E36" s="66">
        <f>D36*E34/D34</f>
        <v>0</v>
      </c>
      <c r="F36" s="66">
        <f>D36*F34/D34</f>
        <v>0</v>
      </c>
      <c r="G36" s="66">
        <f>D36*G34/D34</f>
        <v>0</v>
      </c>
      <c r="H36" s="92"/>
      <c r="I36" s="86"/>
      <c r="J36" s="86"/>
      <c r="K36" s="86"/>
      <c r="L36" s="86"/>
      <c r="M36" s="86"/>
    </row>
    <row r="37" spans="1:13" ht="38.25">
      <c r="A37" s="66">
        <v>10</v>
      </c>
      <c r="B37" s="66" t="s">
        <v>286</v>
      </c>
      <c r="C37" s="66" t="s">
        <v>282</v>
      </c>
      <c r="D37" s="66">
        <f>D38+D39</f>
        <v>0</v>
      </c>
      <c r="E37" s="66">
        <f>E38+E39</f>
        <v>0</v>
      </c>
      <c r="F37" s="66">
        <f>F38+F39</f>
        <v>0</v>
      </c>
      <c r="G37" s="66">
        <f>G38+G39</f>
        <v>0</v>
      </c>
      <c r="H37" s="86"/>
      <c r="I37" s="86"/>
      <c r="J37" s="86"/>
      <c r="K37" s="86"/>
      <c r="L37" s="86"/>
      <c r="M37" s="86"/>
    </row>
    <row r="38" spans="1:13" ht="25.5">
      <c r="A38" s="66" t="s">
        <v>148</v>
      </c>
      <c r="B38" s="66" t="s">
        <v>287</v>
      </c>
      <c r="C38" s="66" t="s">
        <v>282</v>
      </c>
      <c r="D38" s="66">
        <f>D35/D34/12*1000</f>
        <v>0</v>
      </c>
      <c r="E38" s="66">
        <f>E35/E34/12*1000</f>
        <v>0</v>
      </c>
      <c r="F38" s="66">
        <f>F35/F34/12*1000</f>
        <v>0</v>
      </c>
      <c r="G38" s="66">
        <f>G35/G34/12*1000</f>
        <v>0</v>
      </c>
      <c r="H38" s="86"/>
      <c r="I38" s="86"/>
      <c r="J38" s="86"/>
      <c r="K38" s="86"/>
      <c r="L38" s="86"/>
      <c r="M38" s="86"/>
    </row>
    <row r="39" spans="1:13" ht="25.5">
      <c r="A39" s="66" t="s">
        <v>149</v>
      </c>
      <c r="B39" s="66" t="s">
        <v>288</v>
      </c>
      <c r="C39" s="66" t="s">
        <v>282</v>
      </c>
      <c r="D39" s="66">
        <f>D36/D34/12*1000</f>
        <v>0</v>
      </c>
      <c r="E39" s="66">
        <f>E36/E34/12*1000</f>
        <v>0</v>
      </c>
      <c r="F39" s="66">
        <f>F36/F34/12*1000</f>
        <v>0</v>
      </c>
      <c r="G39" s="66">
        <f>G36/G34/12*1000</f>
        <v>0</v>
      </c>
      <c r="H39" s="86"/>
      <c r="I39" s="86"/>
      <c r="J39" s="86"/>
      <c r="K39" s="86"/>
      <c r="L39" s="86"/>
      <c r="M39" s="86"/>
    </row>
    <row r="40" spans="1:7" ht="12.75">
      <c r="A40" s="66" t="s">
        <v>150</v>
      </c>
      <c r="B40" s="66" t="s">
        <v>276</v>
      </c>
      <c r="C40" s="66" t="s">
        <v>25</v>
      </c>
      <c r="D40" s="66" t="e">
        <f>D39/D37*100</f>
        <v>#DIV/0!</v>
      </c>
      <c r="E40" s="66" t="e">
        <f>E39/E37*100</f>
        <v>#DIV/0!</v>
      </c>
      <c r="F40" s="66" t="e">
        <f>F39/F37*100</f>
        <v>#DIV/0!</v>
      </c>
      <c r="G40" s="66" t="e">
        <f>G39/G37*100</f>
        <v>#DIV/0!</v>
      </c>
    </row>
    <row r="41" spans="1:7" ht="12.75" customHeight="1">
      <c r="A41" s="412" t="s">
        <v>236</v>
      </c>
      <c r="B41" s="412"/>
      <c r="C41" s="412"/>
      <c r="D41" s="412"/>
      <c r="E41" s="412"/>
      <c r="F41" s="412"/>
      <c r="G41" s="412"/>
    </row>
    <row r="42" spans="1:7" ht="38.25">
      <c r="A42" s="66">
        <v>11</v>
      </c>
      <c r="B42" s="66" t="s">
        <v>289</v>
      </c>
      <c r="C42" s="66" t="s">
        <v>53</v>
      </c>
      <c r="D42" s="66">
        <f>'Постачання 5'!G30</f>
        <v>0</v>
      </c>
      <c r="E42" s="66">
        <f>D42*E34/D34</f>
        <v>0</v>
      </c>
      <c r="F42" s="66">
        <f>D42*F34/D34</f>
        <v>0</v>
      </c>
      <c r="G42" s="66">
        <f>D42*G34/D34</f>
        <v>0</v>
      </c>
    </row>
    <row r="43" spans="1:8" ht="25.5">
      <c r="A43" s="66">
        <v>12</v>
      </c>
      <c r="B43" s="66" t="s">
        <v>290</v>
      </c>
      <c r="C43" s="66" t="s">
        <v>53</v>
      </c>
      <c r="D43" s="66">
        <f>'Постачання 5'!G32</f>
        <v>0</v>
      </c>
      <c r="E43" s="66">
        <f>D43*E34/D34</f>
        <v>0</v>
      </c>
      <c r="F43" s="66">
        <f>D43*F34/D34</f>
        <v>0</v>
      </c>
      <c r="G43" s="66">
        <f>D43*G34/D34</f>
        <v>0</v>
      </c>
      <c r="H43" s="44"/>
    </row>
    <row r="44" spans="1:7" ht="38.25">
      <c r="A44" s="66">
        <v>13</v>
      </c>
      <c r="B44" s="66" t="s">
        <v>291</v>
      </c>
      <c r="C44" s="66" t="s">
        <v>278</v>
      </c>
      <c r="D44" s="66">
        <f>D45+D46</f>
        <v>0</v>
      </c>
      <c r="E44" s="66">
        <f>E45+E46</f>
        <v>0</v>
      </c>
      <c r="F44" s="66">
        <f>F45+F46</f>
        <v>0</v>
      </c>
      <c r="G44" s="66">
        <f>G45+G46</f>
        <v>0</v>
      </c>
    </row>
    <row r="45" spans="1:7" ht="25.5">
      <c r="A45" s="66" t="s">
        <v>292</v>
      </c>
      <c r="B45" s="66" t="s">
        <v>293</v>
      </c>
      <c r="C45" s="66" t="s">
        <v>278</v>
      </c>
      <c r="D45" s="66">
        <f>D42/D14/12*1000</f>
        <v>0</v>
      </c>
      <c r="E45" s="66">
        <f>E42/E14/12*1000</f>
        <v>0</v>
      </c>
      <c r="F45" s="66">
        <f>F42/F14/12*1000</f>
        <v>0</v>
      </c>
      <c r="G45" s="66">
        <f>G42/G14/12*1000</f>
        <v>0</v>
      </c>
    </row>
    <row r="46" spans="1:7" ht="25.5">
      <c r="A46" s="66" t="s">
        <v>294</v>
      </c>
      <c r="B46" s="66" t="s">
        <v>295</v>
      </c>
      <c r="C46" s="66" t="s">
        <v>278</v>
      </c>
      <c r="D46" s="66">
        <f>D43/D14/12*1000</f>
        <v>0</v>
      </c>
      <c r="E46" s="66">
        <f>E43/E14/12*1000</f>
        <v>0</v>
      </c>
      <c r="F46" s="66">
        <f>F43/F14/12*1000</f>
        <v>0</v>
      </c>
      <c r="G46" s="66">
        <f>G43/G14/12*1000</f>
        <v>0</v>
      </c>
    </row>
    <row r="47" spans="1:7" ht="12.75">
      <c r="A47" s="66" t="s">
        <v>296</v>
      </c>
      <c r="B47" s="66" t="s">
        <v>276</v>
      </c>
      <c r="C47" s="66" t="s">
        <v>25</v>
      </c>
      <c r="D47" s="66" t="e">
        <f>D46/D44*100</f>
        <v>#DIV/0!</v>
      </c>
      <c r="E47" s="66" t="e">
        <f>E46/E44*100</f>
        <v>#DIV/0!</v>
      </c>
      <c r="F47" s="66" t="e">
        <f>F46/F44*100</f>
        <v>#DIV/0!</v>
      </c>
      <c r="G47" s="66" t="e">
        <f>G46/G44*100</f>
        <v>#DIV/0!</v>
      </c>
    </row>
    <row r="48" spans="1:7" ht="12.75" customHeight="1">
      <c r="A48" s="412" t="s">
        <v>297</v>
      </c>
      <c r="B48" s="412"/>
      <c r="C48" s="412"/>
      <c r="D48" s="412"/>
      <c r="E48" s="412"/>
      <c r="F48" s="412"/>
      <c r="G48" s="412"/>
    </row>
    <row r="49" spans="1:7" ht="25.5">
      <c r="A49" s="66">
        <v>14</v>
      </c>
      <c r="B49" s="66" t="s">
        <v>298</v>
      </c>
      <c r="C49" s="66" t="s">
        <v>101</v>
      </c>
      <c r="D49" s="66" t="e">
        <f aca="true" t="shared" si="1" ref="D49:G51">D25</f>
        <v>#DIV/0!</v>
      </c>
      <c r="E49" s="66" t="e">
        <f t="shared" si="1"/>
        <v>#DIV/0!</v>
      </c>
      <c r="F49" s="66" t="e">
        <f t="shared" si="1"/>
        <v>#DIV/0!</v>
      </c>
      <c r="G49" s="66" t="e">
        <f t="shared" si="1"/>
        <v>#DIV/0!</v>
      </c>
    </row>
    <row r="50" spans="1:7" ht="12.75">
      <c r="A50" s="66" t="s">
        <v>299</v>
      </c>
      <c r="B50" s="66" t="s">
        <v>300</v>
      </c>
      <c r="C50" s="66" t="s">
        <v>101</v>
      </c>
      <c r="D50" s="66">
        <f t="shared" si="1"/>
        <v>0</v>
      </c>
      <c r="E50" s="66">
        <f t="shared" si="1"/>
        <v>0</v>
      </c>
      <c r="F50" s="66">
        <f t="shared" si="1"/>
        <v>0</v>
      </c>
      <c r="G50" s="66">
        <f t="shared" si="1"/>
        <v>0</v>
      </c>
    </row>
    <row r="51" spans="1:7" ht="12.75">
      <c r="A51" s="66" t="s">
        <v>301</v>
      </c>
      <c r="B51" s="66" t="s">
        <v>302</v>
      </c>
      <c r="C51" s="66" t="s">
        <v>101</v>
      </c>
      <c r="D51" s="66" t="e">
        <f t="shared" si="1"/>
        <v>#DIV/0!</v>
      </c>
      <c r="E51" s="66" t="e">
        <f t="shared" si="1"/>
        <v>#DIV/0!</v>
      </c>
      <c r="F51" s="66" t="e">
        <f t="shared" si="1"/>
        <v>#DIV/0!</v>
      </c>
      <c r="G51" s="66" t="e">
        <f t="shared" si="1"/>
        <v>#DIV/0!</v>
      </c>
    </row>
    <row r="52" spans="1:7" ht="12.75">
      <c r="A52" s="66" t="s">
        <v>303</v>
      </c>
      <c r="B52" s="66" t="s">
        <v>276</v>
      </c>
      <c r="C52" s="66" t="s">
        <v>25</v>
      </c>
      <c r="D52" s="66" t="e">
        <f>D51/D49*100</f>
        <v>#DIV/0!</v>
      </c>
      <c r="E52" s="66" t="e">
        <f>E51/E49*100</f>
        <v>#DIV/0!</v>
      </c>
      <c r="F52" s="66" t="e">
        <f>F51/F49*100</f>
        <v>#DIV/0!</v>
      </c>
      <c r="G52" s="66" t="e">
        <f>G51/G49*100</f>
        <v>#DIV/0!</v>
      </c>
    </row>
    <row r="53" spans="1:7" ht="63.75">
      <c r="A53" s="66">
        <v>15</v>
      </c>
      <c r="B53" s="66" t="s">
        <v>304</v>
      </c>
      <c r="C53" s="66" t="s">
        <v>278</v>
      </c>
      <c r="D53" s="66" t="e">
        <f aca="true" t="shared" si="2" ref="D53:G55">D29+D37+D44</f>
        <v>#DIV/0!</v>
      </c>
      <c r="E53" s="66" t="e">
        <f t="shared" si="2"/>
        <v>#DIV/0!</v>
      </c>
      <c r="F53" s="66" t="e">
        <f t="shared" si="2"/>
        <v>#DIV/0!</v>
      </c>
      <c r="G53" s="66" t="e">
        <f t="shared" si="2"/>
        <v>#DIV/0!</v>
      </c>
    </row>
    <row r="54" spans="1:7" ht="25.5">
      <c r="A54" s="66" t="s">
        <v>305</v>
      </c>
      <c r="B54" s="66" t="s">
        <v>306</v>
      </c>
      <c r="C54" s="66" t="s">
        <v>278</v>
      </c>
      <c r="D54" s="66">
        <f t="shared" si="2"/>
        <v>0</v>
      </c>
      <c r="E54" s="66">
        <f t="shared" si="2"/>
        <v>0</v>
      </c>
      <c r="F54" s="66">
        <f t="shared" si="2"/>
        <v>0</v>
      </c>
      <c r="G54" s="66">
        <f t="shared" si="2"/>
        <v>0</v>
      </c>
    </row>
    <row r="55" spans="1:7" ht="33" customHeight="1">
      <c r="A55" s="66" t="s">
        <v>307</v>
      </c>
      <c r="B55" s="101" t="s">
        <v>308</v>
      </c>
      <c r="C55" s="66" t="s">
        <v>278</v>
      </c>
      <c r="D55" s="66" t="e">
        <f t="shared" si="2"/>
        <v>#DIV/0!</v>
      </c>
      <c r="E55" s="66" t="e">
        <f t="shared" si="2"/>
        <v>#DIV/0!</v>
      </c>
      <c r="F55" s="66" t="e">
        <f t="shared" si="2"/>
        <v>#DIV/0!</v>
      </c>
      <c r="G55" s="66" t="e">
        <f t="shared" si="2"/>
        <v>#DIV/0!</v>
      </c>
    </row>
    <row r="56" spans="1:7" ht="12.75">
      <c r="A56" s="66" t="s">
        <v>309</v>
      </c>
      <c r="B56" s="66" t="s">
        <v>276</v>
      </c>
      <c r="C56" s="66" t="s">
        <v>25</v>
      </c>
      <c r="D56" s="66" t="e">
        <f>D55/D53*100</f>
        <v>#DIV/0!</v>
      </c>
      <c r="E56" s="66" t="e">
        <f>E55/E53*100</f>
        <v>#DIV/0!</v>
      </c>
      <c r="F56" s="66" t="e">
        <f>F55/F53*100</f>
        <v>#DIV/0!</v>
      </c>
      <c r="G56" s="66" t="e">
        <f>G55/G53*100</f>
        <v>#DIV/0!</v>
      </c>
    </row>
    <row r="57" spans="1:7" ht="12.75">
      <c r="A57" s="17"/>
      <c r="B57" s="18"/>
      <c r="C57" s="19"/>
      <c r="D57" s="19"/>
      <c r="E57" s="19"/>
      <c r="F57" s="19"/>
      <c r="G57" s="19"/>
    </row>
    <row r="58" spans="1:7" ht="12.75">
      <c r="A58" s="299"/>
      <c r="B58" s="299"/>
      <c r="C58" s="299"/>
      <c r="D58" s="299"/>
      <c r="E58" s="299"/>
      <c r="F58" s="299"/>
      <c r="G58" s="299"/>
    </row>
    <row r="59" spans="1:7" ht="12.75">
      <c r="A59" s="346"/>
      <c r="B59" s="346"/>
      <c r="C59" s="346"/>
      <c r="D59" s="346"/>
      <c r="E59" s="346"/>
      <c r="F59" s="346"/>
      <c r="G59" s="346"/>
    </row>
    <row r="60" spans="1:7" ht="12.75">
      <c r="A60" s="299"/>
      <c r="B60" s="299"/>
      <c r="C60" s="299"/>
      <c r="D60" s="299"/>
      <c r="E60" s="299"/>
      <c r="F60" s="299"/>
      <c r="G60" s="299"/>
    </row>
    <row r="61" spans="1:7" ht="12.75" customHeight="1">
      <c r="A61" s="301" t="s">
        <v>344</v>
      </c>
      <c r="B61" s="301"/>
      <c r="C61" s="301"/>
      <c r="D61" s="301"/>
      <c r="E61" s="301"/>
      <c r="F61" s="301"/>
      <c r="G61" s="301"/>
    </row>
    <row r="62" spans="1:7" ht="12.75">
      <c r="A62" s="299"/>
      <c r="B62" s="299"/>
      <c r="C62" s="299"/>
      <c r="D62" s="299"/>
      <c r="E62" s="299"/>
      <c r="F62" s="299"/>
      <c r="G62" s="299"/>
    </row>
    <row r="63" spans="1:7" ht="12.75" customHeight="1">
      <c r="A63" s="301" t="s">
        <v>330</v>
      </c>
      <c r="B63" s="301"/>
      <c r="C63" s="301"/>
      <c r="D63" s="301"/>
      <c r="E63" s="301"/>
      <c r="F63" s="301"/>
      <c r="G63" s="301"/>
    </row>
    <row r="64" spans="1:7" ht="12.75">
      <c r="A64" s="337"/>
      <c r="B64" s="337"/>
      <c r="C64" s="337"/>
      <c r="D64" s="337"/>
      <c r="E64" s="337"/>
      <c r="F64" s="337"/>
      <c r="G64" s="337"/>
    </row>
  </sheetData>
  <sheetProtection/>
  <mergeCells count="21">
    <mergeCell ref="A63:G63"/>
    <mergeCell ref="A64:G64"/>
    <mergeCell ref="A48:G48"/>
    <mergeCell ref="A58:G58"/>
    <mergeCell ref="A59:G59"/>
    <mergeCell ref="A60:G60"/>
    <mergeCell ref="A61:G61"/>
    <mergeCell ref="A62:G62"/>
    <mergeCell ref="B15:G15"/>
    <mergeCell ref="B33:G33"/>
    <mergeCell ref="A41:G41"/>
    <mergeCell ref="A10:A11"/>
    <mergeCell ref="B10:B11"/>
    <mergeCell ref="C10:C11"/>
    <mergeCell ref="D10:D11"/>
    <mergeCell ref="E10:G10"/>
    <mergeCell ref="F1:G4"/>
    <mergeCell ref="A6:G6"/>
    <mergeCell ref="A7:G7"/>
    <mergeCell ref="A9:G9"/>
    <mergeCell ref="A8:G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6"/>
  <sheetViews>
    <sheetView zoomScalePageLayoutView="0" workbookViewId="0" topLeftCell="A34">
      <selection activeCell="B4" sqref="B4"/>
    </sheetView>
  </sheetViews>
  <sheetFormatPr defaultColWidth="9.140625" defaultRowHeight="12.75"/>
  <cols>
    <col min="1" max="1" width="7.140625" style="0" customWidth="1"/>
    <col min="2" max="2" width="71.7109375" style="0" customWidth="1"/>
    <col min="3" max="3" width="9.00390625" style="0" customWidth="1"/>
    <col min="4" max="4" width="10.140625" style="0" customWidth="1"/>
    <col min="5" max="6" width="8.7109375" style="0" customWidth="1"/>
    <col min="7" max="7" width="8.57421875" style="0" customWidth="1"/>
    <col min="8" max="8" width="8.00390625" style="0" customWidth="1"/>
    <col min="9" max="9" width="8.421875" style="0" customWidth="1"/>
    <col min="10" max="10" width="7.8515625" style="0" customWidth="1"/>
    <col min="11" max="11" width="8.28125" style="0" customWidth="1"/>
    <col min="12" max="12" width="7.7109375" style="0" customWidth="1"/>
    <col min="13" max="13" width="7.28125" style="0" customWidth="1"/>
    <col min="14" max="14" width="7.57421875" style="0" customWidth="1"/>
    <col min="15" max="15" width="8.7109375" style="0" customWidth="1"/>
    <col min="16" max="16" width="8.421875" style="0" customWidth="1"/>
    <col min="17" max="17" width="9.57421875" style="0" customWidth="1"/>
    <col min="18" max="18" width="7.8515625" style="0" customWidth="1"/>
  </cols>
  <sheetData>
    <row r="1" spans="1:18" ht="16.5" customHeight="1">
      <c r="A1" s="316" t="s">
        <v>405</v>
      </c>
      <c r="B1" s="316"/>
      <c r="C1" s="21"/>
      <c r="D1" s="21"/>
      <c r="E1" s="21"/>
      <c r="F1" s="21"/>
      <c r="G1" s="21"/>
      <c r="H1" s="21"/>
      <c r="I1" s="21"/>
      <c r="J1" s="21"/>
      <c r="K1" s="21"/>
      <c r="L1" s="21"/>
      <c r="M1" s="325" t="s">
        <v>401</v>
      </c>
      <c r="N1" s="325"/>
      <c r="O1" s="325"/>
      <c r="P1" s="325"/>
      <c r="Q1" s="325"/>
      <c r="R1" s="325"/>
    </row>
    <row r="2" spans="1:18" ht="25.5" customHeight="1">
      <c r="A2" s="326" t="s">
        <v>374</v>
      </c>
      <c r="B2" s="326"/>
      <c r="C2" s="20"/>
      <c r="D2" s="20"/>
      <c r="E2" s="20"/>
      <c r="F2" s="20"/>
      <c r="G2" s="20"/>
      <c r="H2" s="20"/>
      <c r="I2" s="20"/>
      <c r="J2" s="20"/>
      <c r="K2" s="20"/>
      <c r="L2" s="20"/>
      <c r="M2" s="325"/>
      <c r="N2" s="325"/>
      <c r="O2" s="325"/>
      <c r="P2" s="325"/>
      <c r="Q2" s="325"/>
      <c r="R2" s="325"/>
    </row>
    <row r="3" spans="1:18" ht="17.25" customHeight="1">
      <c r="A3" s="312" t="s">
        <v>375</v>
      </c>
      <c r="B3" s="312"/>
      <c r="C3" s="21"/>
      <c r="D3" s="21"/>
      <c r="E3" s="21"/>
      <c r="F3" s="21"/>
      <c r="G3" s="21"/>
      <c r="H3" s="21"/>
      <c r="I3" s="21"/>
      <c r="J3" s="21"/>
      <c r="K3" s="21"/>
      <c r="L3" s="21"/>
      <c r="M3" s="325"/>
      <c r="N3" s="325"/>
      <c r="O3" s="325"/>
      <c r="P3" s="325"/>
      <c r="Q3" s="325"/>
      <c r="R3" s="325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</row>
    <row r="6" spans="1:18" ht="15.75">
      <c r="A6" s="318" t="s">
        <v>429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:18" ht="12.75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</row>
    <row r="8" spans="1:18" ht="15">
      <c r="A8" s="313" t="s">
        <v>327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</row>
    <row r="9" spans="1:18" ht="13.5" thickBo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</row>
    <row r="10" spans="1:18" ht="12.75">
      <c r="A10" s="328" t="s">
        <v>1</v>
      </c>
      <c r="B10" s="330" t="s">
        <v>2</v>
      </c>
      <c r="C10" s="310" t="s">
        <v>3</v>
      </c>
      <c r="D10" s="310" t="s">
        <v>390</v>
      </c>
      <c r="E10" s="310" t="s">
        <v>387</v>
      </c>
      <c r="F10" s="310" t="s">
        <v>389</v>
      </c>
      <c r="G10" s="310" t="s">
        <v>391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9"/>
    </row>
    <row r="11" spans="1:18" ht="21">
      <c r="A11" s="329"/>
      <c r="B11" s="331"/>
      <c r="C11" s="311"/>
      <c r="D11" s="311"/>
      <c r="E11" s="311"/>
      <c r="F11" s="311"/>
      <c r="G11" s="123" t="s">
        <v>4</v>
      </c>
      <c r="H11" s="123" t="s">
        <v>5</v>
      </c>
      <c r="I11" s="123" t="s">
        <v>6</v>
      </c>
      <c r="J11" s="123" t="s">
        <v>7</v>
      </c>
      <c r="K11" s="123" t="s">
        <v>8</v>
      </c>
      <c r="L11" s="123" t="s">
        <v>9</v>
      </c>
      <c r="M11" s="123" t="s">
        <v>10</v>
      </c>
      <c r="N11" s="123" t="s">
        <v>11</v>
      </c>
      <c r="O11" s="123" t="s">
        <v>12</v>
      </c>
      <c r="P11" s="123" t="s">
        <v>13</v>
      </c>
      <c r="Q11" s="123" t="s">
        <v>14</v>
      </c>
      <c r="R11" s="124" t="s">
        <v>15</v>
      </c>
    </row>
    <row r="12" spans="1:18" ht="55.5" customHeight="1">
      <c r="A12" s="329"/>
      <c r="B12" s="331"/>
      <c r="C12" s="311"/>
      <c r="D12" s="311"/>
      <c r="E12" s="311"/>
      <c r="F12" s="311"/>
      <c r="G12" s="122" t="s">
        <v>16</v>
      </c>
      <c r="H12" s="122" t="s">
        <v>16</v>
      </c>
      <c r="I12" s="122" t="s">
        <v>16</v>
      </c>
      <c r="J12" s="122" t="s">
        <v>16</v>
      </c>
      <c r="K12" s="122" t="s">
        <v>16</v>
      </c>
      <c r="L12" s="122" t="s">
        <v>16</v>
      </c>
      <c r="M12" s="122" t="s">
        <v>16</v>
      </c>
      <c r="N12" s="122" t="s">
        <v>16</v>
      </c>
      <c r="O12" s="122" t="s">
        <v>16</v>
      </c>
      <c r="P12" s="122" t="s">
        <v>16</v>
      </c>
      <c r="Q12" s="122" t="s">
        <v>16</v>
      </c>
      <c r="R12" s="125" t="s">
        <v>16</v>
      </c>
    </row>
    <row r="13" spans="1:18" ht="12.75">
      <c r="A13" s="151">
        <v>1</v>
      </c>
      <c r="B13" s="154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2">
        <v>15</v>
      </c>
      <c r="P13" s="32">
        <v>16</v>
      </c>
      <c r="Q13" s="32">
        <v>17</v>
      </c>
      <c r="R13" s="127">
        <v>18</v>
      </c>
    </row>
    <row r="14" spans="1:18" ht="14.25" customHeight="1">
      <c r="A14" s="152">
        <v>1</v>
      </c>
      <c r="B14" s="116" t="s">
        <v>17</v>
      </c>
      <c r="C14" s="32" t="s">
        <v>18</v>
      </c>
      <c r="D14" s="72">
        <v>227.532</v>
      </c>
      <c r="E14" s="72">
        <v>208.67</v>
      </c>
      <c r="F14" s="137">
        <f>SUM(G14:R14)</f>
        <v>314.216</v>
      </c>
      <c r="G14" s="72">
        <v>74.26</v>
      </c>
      <c r="H14" s="72">
        <v>58.39</v>
      </c>
      <c r="I14" s="72">
        <v>48.07</v>
      </c>
      <c r="J14" s="72">
        <v>6.352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13.156</v>
      </c>
      <c r="Q14" s="72">
        <v>51.332</v>
      </c>
      <c r="R14" s="129">
        <v>62.656</v>
      </c>
    </row>
    <row r="15" spans="1:18" ht="13.5" customHeight="1">
      <c r="A15" s="220" t="s">
        <v>19</v>
      </c>
      <c r="B15" s="130" t="s">
        <v>415</v>
      </c>
      <c r="C15" s="32" t="s">
        <v>18</v>
      </c>
      <c r="D15" s="72">
        <v>0</v>
      </c>
      <c r="E15" s="72">
        <v>0</v>
      </c>
      <c r="F15" s="138">
        <f>SUM(G15:R15)</f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31">
        <v>0</v>
      </c>
    </row>
    <row r="16" spans="1:18" ht="12.75">
      <c r="A16" s="151" t="s">
        <v>20</v>
      </c>
      <c r="B16" s="113" t="s">
        <v>21</v>
      </c>
      <c r="C16" s="32" t="s">
        <v>18</v>
      </c>
      <c r="D16" s="72">
        <f>D14-D15</f>
        <v>227.532</v>
      </c>
      <c r="E16" s="72">
        <f>E14-E15</f>
        <v>208.67</v>
      </c>
      <c r="F16" s="138">
        <f>F14-F15</f>
        <v>314.216</v>
      </c>
      <c r="G16" s="114">
        <f aca="true" t="shared" si="0" ref="G16:R16">G14-G15</f>
        <v>74.26</v>
      </c>
      <c r="H16" s="114">
        <f t="shared" si="0"/>
        <v>58.39</v>
      </c>
      <c r="I16" s="114">
        <f t="shared" si="0"/>
        <v>48.07</v>
      </c>
      <c r="J16" s="114">
        <f t="shared" si="0"/>
        <v>6.352</v>
      </c>
      <c r="K16" s="114">
        <f t="shared" si="0"/>
        <v>0</v>
      </c>
      <c r="L16" s="114">
        <f t="shared" si="0"/>
        <v>0</v>
      </c>
      <c r="M16" s="114">
        <f t="shared" si="0"/>
        <v>0</v>
      </c>
      <c r="N16" s="114">
        <f t="shared" si="0"/>
        <v>0</v>
      </c>
      <c r="O16" s="114">
        <f t="shared" si="0"/>
        <v>0</v>
      </c>
      <c r="P16" s="114">
        <f t="shared" si="0"/>
        <v>13.156</v>
      </c>
      <c r="Q16" s="114">
        <f t="shared" si="0"/>
        <v>51.332</v>
      </c>
      <c r="R16" s="131">
        <f t="shared" si="0"/>
        <v>62.656</v>
      </c>
    </row>
    <row r="17" spans="1:18" ht="27" customHeight="1">
      <c r="A17" s="152">
        <v>2</v>
      </c>
      <c r="B17" s="116" t="s">
        <v>418</v>
      </c>
      <c r="C17" s="32" t="s">
        <v>18</v>
      </c>
      <c r="D17" s="72">
        <v>0</v>
      </c>
      <c r="E17" s="72">
        <v>0</v>
      </c>
      <c r="F17" s="137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129">
        <v>0</v>
      </c>
    </row>
    <row r="18" spans="1:18" ht="27" customHeight="1">
      <c r="A18" s="151" t="s">
        <v>22</v>
      </c>
      <c r="B18" s="113" t="s">
        <v>23</v>
      </c>
      <c r="C18" s="32" t="s">
        <v>18</v>
      </c>
      <c r="D18" s="72">
        <v>0</v>
      </c>
      <c r="E18" s="72">
        <v>0</v>
      </c>
      <c r="F18" s="137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129">
        <v>0</v>
      </c>
    </row>
    <row r="19" spans="1:18" ht="27.75" customHeight="1">
      <c r="A19" s="151" t="s">
        <v>24</v>
      </c>
      <c r="B19" s="115" t="s">
        <v>430</v>
      </c>
      <c r="C19" s="32" t="s">
        <v>18</v>
      </c>
      <c r="D19" s="72">
        <v>0</v>
      </c>
      <c r="E19" s="72">
        <v>0</v>
      </c>
      <c r="F19" s="137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129">
        <v>0</v>
      </c>
    </row>
    <row r="20" spans="1:18" ht="27.75" customHeight="1">
      <c r="A20" s="152">
        <v>3</v>
      </c>
      <c r="B20" s="116" t="s">
        <v>428</v>
      </c>
      <c r="C20" s="32" t="s">
        <v>18</v>
      </c>
      <c r="D20" s="72">
        <f>D14</f>
        <v>227.532</v>
      </c>
      <c r="E20" s="72">
        <f>E14</f>
        <v>208.67</v>
      </c>
      <c r="F20" s="137">
        <f>F14</f>
        <v>314.216</v>
      </c>
      <c r="G20" s="72">
        <f aca="true" t="shared" si="1" ref="G20:R20">G14</f>
        <v>74.26</v>
      </c>
      <c r="H20" s="72">
        <f t="shared" si="1"/>
        <v>58.39</v>
      </c>
      <c r="I20" s="72">
        <f t="shared" si="1"/>
        <v>48.07</v>
      </c>
      <c r="J20" s="72">
        <f t="shared" si="1"/>
        <v>6.352</v>
      </c>
      <c r="K20" s="72">
        <f t="shared" si="1"/>
        <v>0</v>
      </c>
      <c r="L20" s="72">
        <f t="shared" si="1"/>
        <v>0</v>
      </c>
      <c r="M20" s="72">
        <f t="shared" si="1"/>
        <v>0</v>
      </c>
      <c r="N20" s="72">
        <f t="shared" si="1"/>
        <v>0</v>
      </c>
      <c r="O20" s="72">
        <f t="shared" si="1"/>
        <v>0</v>
      </c>
      <c r="P20" s="72">
        <f t="shared" si="1"/>
        <v>13.156</v>
      </c>
      <c r="Q20" s="72">
        <f t="shared" si="1"/>
        <v>51.332</v>
      </c>
      <c r="R20" s="129">
        <f t="shared" si="1"/>
        <v>62.656</v>
      </c>
    </row>
    <row r="21" spans="1:18" ht="30" customHeight="1">
      <c r="A21" s="152">
        <v>4</v>
      </c>
      <c r="B21" s="116" t="s">
        <v>419</v>
      </c>
      <c r="C21" s="32" t="s">
        <v>18</v>
      </c>
      <c r="D21" s="72">
        <v>12.382</v>
      </c>
      <c r="E21" s="72">
        <v>12.92</v>
      </c>
      <c r="F21" s="137">
        <f>SUM(G21:R21)</f>
        <v>19.453000000000003</v>
      </c>
      <c r="G21" s="72">
        <v>4.598</v>
      </c>
      <c r="H21" s="72">
        <v>3.615</v>
      </c>
      <c r="I21" s="72">
        <v>2.976</v>
      </c>
      <c r="J21" s="72">
        <v>0.393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0.814</v>
      </c>
      <c r="Q21" s="72">
        <v>3.178</v>
      </c>
      <c r="R21" s="129">
        <v>3.879</v>
      </c>
    </row>
    <row r="22" spans="1:18" ht="14.25" customHeight="1">
      <c r="A22" s="151"/>
      <c r="B22" s="113" t="s">
        <v>392</v>
      </c>
      <c r="C22" s="32" t="s">
        <v>25</v>
      </c>
      <c r="D22" s="72">
        <f>D21/D20*100</f>
        <v>5.441871912522194</v>
      </c>
      <c r="E22" s="72">
        <f>E21/E20*100</f>
        <v>6.1915943834763025</v>
      </c>
      <c r="F22" s="137">
        <f>F21/F20*100</f>
        <v>6.190964177508467</v>
      </c>
      <c r="G22" s="72">
        <f aca="true" t="shared" si="2" ref="G22:R22">G21/G20*100</f>
        <v>6.191758685698895</v>
      </c>
      <c r="H22" s="72">
        <f t="shared" si="2"/>
        <v>6.191128617914027</v>
      </c>
      <c r="I22" s="72">
        <f t="shared" si="2"/>
        <v>6.190971499895985</v>
      </c>
      <c r="J22" s="72">
        <f t="shared" si="2"/>
        <v>6.187027707808564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f t="shared" si="2"/>
        <v>6.1872909698996645</v>
      </c>
      <c r="Q22" s="72">
        <f t="shared" si="2"/>
        <v>6.191069897919426</v>
      </c>
      <c r="R22" s="129">
        <f t="shared" si="2"/>
        <v>6.190947395301328</v>
      </c>
    </row>
    <row r="23" spans="1:18" ht="40.5" customHeight="1">
      <c r="A23" s="151" t="s">
        <v>26</v>
      </c>
      <c r="B23" s="113" t="s">
        <v>420</v>
      </c>
      <c r="C23" s="32" t="s">
        <v>18</v>
      </c>
      <c r="D23" s="72">
        <v>0</v>
      </c>
      <c r="E23" s="72">
        <v>0</v>
      </c>
      <c r="F23" s="137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129">
        <v>0</v>
      </c>
    </row>
    <row r="24" spans="1:18" ht="13.5" customHeight="1">
      <c r="A24" s="151"/>
      <c r="B24" s="113" t="s">
        <v>393</v>
      </c>
      <c r="C24" s="32" t="s">
        <v>25</v>
      </c>
      <c r="D24" s="72">
        <v>0</v>
      </c>
      <c r="E24" s="72">
        <v>0</v>
      </c>
      <c r="F24" s="137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129">
        <v>0</v>
      </c>
    </row>
    <row r="25" spans="1:18" ht="26.25" customHeight="1">
      <c r="A25" s="152">
        <v>5</v>
      </c>
      <c r="B25" s="116" t="s">
        <v>421</v>
      </c>
      <c r="C25" s="32" t="s">
        <v>18</v>
      </c>
      <c r="D25" s="72">
        <v>215.15</v>
      </c>
      <c r="E25" s="72">
        <v>195.75</v>
      </c>
      <c r="F25" s="137">
        <f>SUM(G25:R25)</f>
        <v>294.76</v>
      </c>
      <c r="G25" s="72">
        <v>69.662</v>
      </c>
      <c r="H25" s="72">
        <v>54.775</v>
      </c>
      <c r="I25" s="72">
        <v>45.094</v>
      </c>
      <c r="J25" s="72">
        <v>5.959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12.339</v>
      </c>
      <c r="Q25" s="72">
        <v>48.154</v>
      </c>
      <c r="R25" s="129">
        <v>58.777</v>
      </c>
    </row>
    <row r="26" spans="1:18" ht="24.75" customHeight="1">
      <c r="A26" s="151" t="s">
        <v>27</v>
      </c>
      <c r="B26" s="113" t="s">
        <v>28</v>
      </c>
      <c r="C26" s="32" t="s">
        <v>18</v>
      </c>
      <c r="D26" s="72">
        <v>0</v>
      </c>
      <c r="E26" s="72">
        <v>0</v>
      </c>
      <c r="F26" s="137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129">
        <v>0</v>
      </c>
    </row>
    <row r="27" spans="1:18" ht="26.25" customHeight="1">
      <c r="A27" s="151" t="s">
        <v>29</v>
      </c>
      <c r="B27" s="121" t="s">
        <v>422</v>
      </c>
      <c r="C27" s="32" t="s">
        <v>18</v>
      </c>
      <c r="D27" s="72">
        <v>0</v>
      </c>
      <c r="E27" s="72">
        <v>0</v>
      </c>
      <c r="F27" s="137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129">
        <v>0</v>
      </c>
    </row>
    <row r="28" spans="1:18" ht="25.5" customHeight="1">
      <c r="A28" s="151" t="s">
        <v>30</v>
      </c>
      <c r="B28" s="113" t="s">
        <v>424</v>
      </c>
      <c r="C28" s="32" t="s">
        <v>18</v>
      </c>
      <c r="D28" s="72">
        <f>D25</f>
        <v>215.15</v>
      </c>
      <c r="E28" s="72">
        <f>E25</f>
        <v>195.75</v>
      </c>
      <c r="F28" s="137">
        <f>F25</f>
        <v>294.76</v>
      </c>
      <c r="G28" s="72">
        <f aca="true" t="shared" si="3" ref="G28:R28">G25</f>
        <v>69.662</v>
      </c>
      <c r="H28" s="72">
        <f t="shared" si="3"/>
        <v>54.775</v>
      </c>
      <c r="I28" s="72">
        <f t="shared" si="3"/>
        <v>45.094</v>
      </c>
      <c r="J28" s="72">
        <f t="shared" si="3"/>
        <v>5.959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f t="shared" si="3"/>
        <v>12.339</v>
      </c>
      <c r="Q28" s="72">
        <f t="shared" si="3"/>
        <v>48.154</v>
      </c>
      <c r="R28" s="129">
        <f t="shared" si="3"/>
        <v>58.777</v>
      </c>
    </row>
    <row r="29" spans="1:18" ht="15" customHeight="1">
      <c r="A29" s="151" t="s">
        <v>31</v>
      </c>
      <c r="B29" s="113" t="s">
        <v>32</v>
      </c>
      <c r="C29" s="32" t="s">
        <v>18</v>
      </c>
      <c r="D29" s="72">
        <v>215.15</v>
      </c>
      <c r="E29" s="72">
        <v>195.75</v>
      </c>
      <c r="F29" s="137">
        <f>SUM(G29:R29)</f>
        <v>294.76</v>
      </c>
      <c r="G29" s="72">
        <v>69.662</v>
      </c>
      <c r="H29" s="72">
        <v>54.775</v>
      </c>
      <c r="I29" s="72">
        <v>45.094</v>
      </c>
      <c r="J29" s="72">
        <v>5.959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12.339</v>
      </c>
      <c r="Q29" s="72">
        <v>48.154</v>
      </c>
      <c r="R29" s="129">
        <v>58.777</v>
      </c>
    </row>
    <row r="30" spans="1:18" ht="15" customHeight="1">
      <c r="A30" s="151"/>
      <c r="B30" s="113" t="s">
        <v>394</v>
      </c>
      <c r="C30" s="32" t="s">
        <v>25</v>
      </c>
      <c r="D30" s="72">
        <f>D29/D28*100</f>
        <v>100</v>
      </c>
      <c r="E30" s="72">
        <f>E29/E28*100</f>
        <v>100</v>
      </c>
      <c r="F30" s="137">
        <f>F29/F28*100</f>
        <v>100</v>
      </c>
      <c r="G30" s="72">
        <f aca="true" t="shared" si="4" ref="G30:R30">G29/G28*100</f>
        <v>100</v>
      </c>
      <c r="H30" s="72">
        <f t="shared" si="4"/>
        <v>100</v>
      </c>
      <c r="I30" s="72">
        <f t="shared" si="4"/>
        <v>100</v>
      </c>
      <c r="J30" s="72">
        <f t="shared" si="4"/>
        <v>100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f t="shared" si="4"/>
        <v>100</v>
      </c>
      <c r="Q30" s="72">
        <f t="shared" si="4"/>
        <v>100</v>
      </c>
      <c r="R30" s="129">
        <f t="shared" si="4"/>
        <v>100</v>
      </c>
    </row>
    <row r="31" spans="1:18" ht="15" customHeight="1">
      <c r="A31" s="151" t="s">
        <v>33</v>
      </c>
      <c r="B31" s="113" t="s">
        <v>423</v>
      </c>
      <c r="C31" s="32" t="s">
        <v>18</v>
      </c>
      <c r="D31" s="72">
        <v>0</v>
      </c>
      <c r="E31" s="72">
        <v>0</v>
      </c>
      <c r="F31" s="137">
        <f>SUM(G31:R31)</f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129">
        <v>0</v>
      </c>
    </row>
    <row r="32" spans="1:18" ht="15" customHeight="1">
      <c r="A32" s="151"/>
      <c r="B32" s="113" t="s">
        <v>395</v>
      </c>
      <c r="C32" s="32" t="s">
        <v>25</v>
      </c>
      <c r="D32" s="72">
        <f>D31/D28*100</f>
        <v>0</v>
      </c>
      <c r="E32" s="72">
        <f>E31/E28*100</f>
        <v>0</v>
      </c>
      <c r="F32" s="137">
        <f>F31/F28*100</f>
        <v>0</v>
      </c>
      <c r="G32" s="72">
        <f aca="true" t="shared" si="5" ref="G32:R32">G31/G28*100</f>
        <v>0</v>
      </c>
      <c r="H32" s="72">
        <f t="shared" si="5"/>
        <v>0</v>
      </c>
      <c r="I32" s="72">
        <f t="shared" si="5"/>
        <v>0</v>
      </c>
      <c r="J32" s="72">
        <f t="shared" si="5"/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f t="shared" si="5"/>
        <v>0</v>
      </c>
      <c r="Q32" s="72">
        <f t="shared" si="5"/>
        <v>0</v>
      </c>
      <c r="R32" s="129">
        <f t="shared" si="5"/>
        <v>0</v>
      </c>
    </row>
    <row r="33" spans="1:18" ht="15" customHeight="1">
      <c r="A33" s="151" t="s">
        <v>34</v>
      </c>
      <c r="B33" s="113" t="s">
        <v>35</v>
      </c>
      <c r="C33" s="32" t="s">
        <v>18</v>
      </c>
      <c r="D33" s="72">
        <v>0</v>
      </c>
      <c r="E33" s="72">
        <v>0</v>
      </c>
      <c r="F33" s="137">
        <f>SUM(G33:R33)</f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129">
        <v>0</v>
      </c>
    </row>
    <row r="34" spans="1:18" ht="12.75" customHeight="1">
      <c r="A34" s="151"/>
      <c r="B34" s="113" t="s">
        <v>395</v>
      </c>
      <c r="C34" s="32" t="s">
        <v>25</v>
      </c>
      <c r="D34" s="72">
        <f>D33/D28*100</f>
        <v>0</v>
      </c>
      <c r="E34" s="72">
        <f>E33/E28*100</f>
        <v>0</v>
      </c>
      <c r="F34" s="137">
        <f>F33/F28*100</f>
        <v>0</v>
      </c>
      <c r="G34" s="72">
        <f aca="true" t="shared" si="6" ref="G34:R34">G33/G28*100</f>
        <v>0</v>
      </c>
      <c r="H34" s="72">
        <f t="shared" si="6"/>
        <v>0</v>
      </c>
      <c r="I34" s="72">
        <f t="shared" si="6"/>
        <v>0</v>
      </c>
      <c r="J34" s="72">
        <f t="shared" si="6"/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f t="shared" si="6"/>
        <v>0</v>
      </c>
      <c r="Q34" s="72">
        <f t="shared" si="6"/>
        <v>0</v>
      </c>
      <c r="R34" s="129">
        <f t="shared" si="6"/>
        <v>0</v>
      </c>
    </row>
    <row r="35" spans="1:18" ht="44.25" customHeight="1">
      <c r="A35" s="152">
        <v>6</v>
      </c>
      <c r="B35" s="116" t="s">
        <v>425</v>
      </c>
      <c r="C35" s="32" t="s">
        <v>36</v>
      </c>
      <c r="D35" s="72">
        <v>0.1672</v>
      </c>
      <c r="E35" s="72">
        <v>0.1672</v>
      </c>
      <c r="F35" s="137">
        <f>F36+F37+F38</f>
        <v>0.1672</v>
      </c>
      <c r="G35" s="72">
        <f>F35</f>
        <v>0.1672</v>
      </c>
      <c r="H35" s="72">
        <f aca="true" t="shared" si="7" ref="H35:R35">G35</f>
        <v>0.1672</v>
      </c>
      <c r="I35" s="72">
        <f t="shared" si="7"/>
        <v>0.1672</v>
      </c>
      <c r="J35" s="72">
        <f t="shared" si="7"/>
        <v>0.1672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f>J35</f>
        <v>0.1672</v>
      </c>
      <c r="Q35" s="72">
        <f t="shared" si="7"/>
        <v>0.1672</v>
      </c>
      <c r="R35" s="129">
        <f t="shared" si="7"/>
        <v>0.1672</v>
      </c>
    </row>
    <row r="36" spans="1:18" ht="16.5" customHeight="1">
      <c r="A36" s="151" t="s">
        <v>37</v>
      </c>
      <c r="B36" s="113" t="s">
        <v>38</v>
      </c>
      <c r="C36" s="32" t="s">
        <v>36</v>
      </c>
      <c r="D36" s="72">
        <v>0.1672</v>
      </c>
      <c r="E36" s="72">
        <v>0.1672</v>
      </c>
      <c r="F36" s="137">
        <v>0.1672</v>
      </c>
      <c r="G36" s="72">
        <v>0.1672</v>
      </c>
      <c r="H36" s="72">
        <v>0.1672</v>
      </c>
      <c r="I36" s="72">
        <v>0.1672</v>
      </c>
      <c r="J36" s="72">
        <v>0.1672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0.1672</v>
      </c>
      <c r="Q36" s="72">
        <v>0.1672</v>
      </c>
      <c r="R36" s="129">
        <v>0.1672</v>
      </c>
    </row>
    <row r="37" spans="1:18" ht="15" customHeight="1">
      <c r="A37" s="151" t="s">
        <v>39</v>
      </c>
      <c r="B37" s="113" t="s">
        <v>40</v>
      </c>
      <c r="C37" s="32" t="s">
        <v>36</v>
      </c>
      <c r="D37" s="72">
        <v>0</v>
      </c>
      <c r="E37" s="72">
        <v>0</v>
      </c>
      <c r="F37" s="137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129">
        <v>0</v>
      </c>
    </row>
    <row r="38" spans="1:18" ht="14.25" customHeight="1">
      <c r="A38" s="151" t="s">
        <v>41</v>
      </c>
      <c r="B38" s="113" t="s">
        <v>42</v>
      </c>
      <c r="C38" s="32" t="s">
        <v>36</v>
      </c>
      <c r="D38" s="72">
        <v>0</v>
      </c>
      <c r="E38" s="72">
        <v>0</v>
      </c>
      <c r="F38" s="137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129">
        <v>0</v>
      </c>
    </row>
    <row r="39" spans="1:18" ht="26.25" customHeight="1">
      <c r="A39" s="221">
        <v>7</v>
      </c>
      <c r="B39" s="214" t="s">
        <v>426</v>
      </c>
      <c r="C39" s="32" t="s">
        <v>18</v>
      </c>
      <c r="D39" s="72">
        <v>227.532</v>
      </c>
      <c r="E39" s="72">
        <v>208.67</v>
      </c>
      <c r="F39" s="137">
        <f>SUM(G39:R39)</f>
        <v>314.216</v>
      </c>
      <c r="G39" s="72">
        <v>74.26</v>
      </c>
      <c r="H39" s="72">
        <v>58.39</v>
      </c>
      <c r="I39" s="72">
        <v>48.07</v>
      </c>
      <c r="J39" s="72">
        <v>6.352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13.156</v>
      </c>
      <c r="Q39" s="72">
        <v>51.332</v>
      </c>
      <c r="R39" s="129">
        <v>62.656</v>
      </c>
    </row>
    <row r="40" spans="1:18" ht="12.75">
      <c r="A40" s="153">
        <v>7.1</v>
      </c>
      <c r="B40" s="117" t="s">
        <v>396</v>
      </c>
      <c r="C40" s="32" t="s">
        <v>18</v>
      </c>
      <c r="D40" s="157">
        <v>227.532</v>
      </c>
      <c r="E40" s="157">
        <v>208.67</v>
      </c>
      <c r="F40" s="148">
        <f>SUM(F41,F42,F43)</f>
        <v>314.216</v>
      </c>
      <c r="G40" s="149">
        <f>SUM(G41:G43)</f>
        <v>74.26</v>
      </c>
      <c r="H40" s="149">
        <f aca="true" t="shared" si="8" ref="H40:R40">SUM(H41:H43)</f>
        <v>58.39</v>
      </c>
      <c r="I40" s="149">
        <f t="shared" si="8"/>
        <v>48.07</v>
      </c>
      <c r="J40" s="149">
        <f t="shared" si="8"/>
        <v>6.352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140">
        <f t="shared" si="8"/>
        <v>13.156</v>
      </c>
      <c r="Q40" s="140">
        <f t="shared" si="8"/>
        <v>51.332</v>
      </c>
      <c r="R40" s="150">
        <f t="shared" si="8"/>
        <v>62.656</v>
      </c>
    </row>
    <row r="41" spans="1:18" ht="12.75">
      <c r="A41" s="224" t="s">
        <v>398</v>
      </c>
      <c r="B41" s="119" t="s">
        <v>38</v>
      </c>
      <c r="C41" s="32" t="s">
        <v>18</v>
      </c>
      <c r="D41" s="157">
        <v>227.532</v>
      </c>
      <c r="E41" s="157">
        <v>208.67</v>
      </c>
      <c r="F41" s="148">
        <v>314.216</v>
      </c>
      <c r="G41" s="72">
        <v>74.26</v>
      </c>
      <c r="H41" s="72">
        <v>58.39</v>
      </c>
      <c r="I41" s="72">
        <v>48.07</v>
      </c>
      <c r="J41" s="72">
        <v>6.352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13.156</v>
      </c>
      <c r="Q41" s="72">
        <v>51.332</v>
      </c>
      <c r="R41" s="129">
        <v>62.656</v>
      </c>
    </row>
    <row r="42" spans="1:18" ht="12.75">
      <c r="A42" s="224" t="s">
        <v>397</v>
      </c>
      <c r="B42" s="118" t="s">
        <v>40</v>
      </c>
      <c r="C42" s="32" t="s">
        <v>18</v>
      </c>
      <c r="D42" s="74">
        <v>0</v>
      </c>
      <c r="E42" s="74">
        <v>0</v>
      </c>
      <c r="F42" s="14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129">
        <v>0</v>
      </c>
    </row>
    <row r="43" spans="1:18" ht="13.5" thickBot="1">
      <c r="A43" s="225" t="s">
        <v>399</v>
      </c>
      <c r="B43" s="135" t="s">
        <v>42</v>
      </c>
      <c r="C43" s="136" t="s">
        <v>18</v>
      </c>
      <c r="D43" s="141">
        <v>0</v>
      </c>
      <c r="E43" s="141">
        <v>0</v>
      </c>
      <c r="F43" s="143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55">
        <v>0</v>
      </c>
      <c r="Q43" s="155">
        <v>0</v>
      </c>
      <c r="R43" s="156">
        <v>0</v>
      </c>
    </row>
    <row r="44" spans="1:18" ht="12.75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</row>
    <row r="45" spans="1:18" ht="15.75">
      <c r="A45" s="327" t="s">
        <v>388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</row>
    <row r="46" spans="1:18" ht="12.75">
      <c r="A46" s="312" t="s">
        <v>400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</row>
  </sheetData>
  <sheetProtection/>
  <mergeCells count="19">
    <mergeCell ref="A44:R44"/>
    <mergeCell ref="A45:R45"/>
    <mergeCell ref="A46:R46"/>
    <mergeCell ref="A7:R7"/>
    <mergeCell ref="A8:R8"/>
    <mergeCell ref="A9:R9"/>
    <mergeCell ref="A10:A12"/>
    <mergeCell ref="B10:B12"/>
    <mergeCell ref="C10:C12"/>
    <mergeCell ref="D10:D12"/>
    <mergeCell ref="E10:E12"/>
    <mergeCell ref="F10:F12"/>
    <mergeCell ref="G10:R10"/>
    <mergeCell ref="A1:B1"/>
    <mergeCell ref="M1:R3"/>
    <mergeCell ref="A2:B2"/>
    <mergeCell ref="A3:B3"/>
    <mergeCell ref="A5:R5"/>
    <mergeCell ref="A6:R6"/>
  </mergeCells>
  <printOptions/>
  <pageMargins left="0.56" right="0.21" top="0.55" bottom="0.35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6"/>
  <sheetViews>
    <sheetView zoomScalePageLayoutView="0" workbookViewId="0" topLeftCell="A4">
      <selection activeCell="J53" sqref="J53"/>
    </sheetView>
  </sheetViews>
  <sheetFormatPr defaultColWidth="9.140625" defaultRowHeight="12.75"/>
  <cols>
    <col min="1" max="1" width="5.421875" style="0" customWidth="1"/>
    <col min="2" max="2" width="71.00390625" style="0" customWidth="1"/>
    <col min="4" max="4" width="10.00390625" style="0" customWidth="1"/>
    <col min="7" max="7" width="9.57421875" style="0" bestFit="1" customWidth="1"/>
    <col min="8" max="9" width="9.7109375" style="0" bestFit="1" customWidth="1"/>
    <col min="10" max="15" width="9.421875" style="0" bestFit="1" customWidth="1"/>
    <col min="16" max="17" width="9.7109375" style="0" bestFit="1" customWidth="1"/>
    <col min="18" max="18" width="11.00390625" style="0" customWidth="1"/>
  </cols>
  <sheetData>
    <row r="1" spans="1:18" ht="18" customHeight="1">
      <c r="A1" s="316" t="s">
        <v>406</v>
      </c>
      <c r="B1" s="316"/>
      <c r="C1" s="21"/>
      <c r="D1" s="21"/>
      <c r="E1" s="21"/>
      <c r="F1" s="21"/>
      <c r="G1" s="21"/>
      <c r="H1" s="21"/>
      <c r="I1" s="21"/>
      <c r="J1" s="21"/>
      <c r="K1" s="21"/>
      <c r="L1" s="21"/>
      <c r="M1" s="325" t="s">
        <v>401</v>
      </c>
      <c r="N1" s="325"/>
      <c r="O1" s="325"/>
      <c r="P1" s="325"/>
      <c r="Q1" s="325"/>
      <c r="R1" s="325"/>
    </row>
    <row r="2" spans="1:18" ht="15.75" customHeight="1">
      <c r="A2" s="326" t="s">
        <v>374</v>
      </c>
      <c r="B2" s="326"/>
      <c r="C2" s="20"/>
      <c r="D2" s="20"/>
      <c r="E2" s="20"/>
      <c r="F2" s="20"/>
      <c r="G2" s="20"/>
      <c r="H2" s="20"/>
      <c r="I2" s="20"/>
      <c r="J2" s="20"/>
      <c r="K2" s="20"/>
      <c r="L2" s="20"/>
      <c r="M2" s="325"/>
      <c r="N2" s="325"/>
      <c r="O2" s="325"/>
      <c r="P2" s="325"/>
      <c r="Q2" s="325"/>
      <c r="R2" s="325"/>
    </row>
    <row r="3" spans="1:18" ht="12.75">
      <c r="A3" s="312" t="s">
        <v>375</v>
      </c>
      <c r="B3" s="312"/>
      <c r="C3" s="21"/>
      <c r="D3" s="21"/>
      <c r="E3" s="21"/>
      <c r="F3" s="21"/>
      <c r="G3" s="21"/>
      <c r="H3" s="21"/>
      <c r="I3" s="21"/>
      <c r="J3" s="21"/>
      <c r="K3" s="21"/>
      <c r="L3" s="21"/>
      <c r="M3" s="325"/>
      <c r="N3" s="325"/>
      <c r="O3" s="325"/>
      <c r="P3" s="325"/>
      <c r="Q3" s="325"/>
      <c r="R3" s="325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</row>
    <row r="6" spans="1:18" ht="15.75">
      <c r="A6" s="318" t="s">
        <v>431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</row>
    <row r="7" spans="1:18" ht="12.75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</row>
    <row r="8" spans="1:18" ht="15">
      <c r="A8" s="313" t="s">
        <v>327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</row>
    <row r="9" spans="1:18" ht="13.5" thickBo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</row>
    <row r="10" spans="1:18" ht="12.75">
      <c r="A10" s="323" t="s">
        <v>1</v>
      </c>
      <c r="B10" s="310" t="s">
        <v>2</v>
      </c>
      <c r="C10" s="310" t="s">
        <v>3</v>
      </c>
      <c r="D10" s="310" t="s">
        <v>390</v>
      </c>
      <c r="E10" s="310" t="s">
        <v>387</v>
      </c>
      <c r="F10" s="310" t="s">
        <v>389</v>
      </c>
      <c r="G10" s="310" t="s">
        <v>391</v>
      </c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9"/>
    </row>
    <row r="11" spans="1:18" ht="54" customHeight="1">
      <c r="A11" s="324"/>
      <c r="B11" s="311"/>
      <c r="C11" s="311"/>
      <c r="D11" s="311"/>
      <c r="E11" s="311"/>
      <c r="F11" s="311"/>
      <c r="G11" s="123" t="s">
        <v>4</v>
      </c>
      <c r="H11" s="123" t="s">
        <v>5</v>
      </c>
      <c r="I11" s="123" t="s">
        <v>6</v>
      </c>
      <c r="J11" s="123" t="s">
        <v>7</v>
      </c>
      <c r="K11" s="123" t="s">
        <v>8</v>
      </c>
      <c r="L11" s="123" t="s">
        <v>9</v>
      </c>
      <c r="M11" s="123" t="s">
        <v>10</v>
      </c>
      <c r="N11" s="123" t="s">
        <v>11</v>
      </c>
      <c r="O11" s="123" t="s">
        <v>12</v>
      </c>
      <c r="P11" s="123" t="s">
        <v>13</v>
      </c>
      <c r="Q11" s="123" t="s">
        <v>14</v>
      </c>
      <c r="R11" s="124" t="s">
        <v>15</v>
      </c>
    </row>
    <row r="12" spans="1:18" ht="16.5" customHeight="1">
      <c r="A12" s="324"/>
      <c r="B12" s="311"/>
      <c r="C12" s="311"/>
      <c r="D12" s="311"/>
      <c r="E12" s="311"/>
      <c r="F12" s="311"/>
      <c r="G12" s="122" t="s">
        <v>16</v>
      </c>
      <c r="H12" s="122" t="s">
        <v>16</v>
      </c>
      <c r="I12" s="122" t="s">
        <v>16</v>
      </c>
      <c r="J12" s="122" t="s">
        <v>16</v>
      </c>
      <c r="K12" s="122" t="s">
        <v>16</v>
      </c>
      <c r="L12" s="122" t="s">
        <v>16</v>
      </c>
      <c r="M12" s="122" t="s">
        <v>16</v>
      </c>
      <c r="N12" s="122" t="s">
        <v>16</v>
      </c>
      <c r="O12" s="122" t="s">
        <v>16</v>
      </c>
      <c r="P12" s="122" t="s">
        <v>16</v>
      </c>
      <c r="Q12" s="122" t="s">
        <v>16</v>
      </c>
      <c r="R12" s="125" t="s">
        <v>16</v>
      </c>
    </row>
    <row r="13" spans="1:18" ht="12.75">
      <c r="A13" s="126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2">
        <v>7</v>
      </c>
      <c r="H13" s="32">
        <v>8</v>
      </c>
      <c r="I13" s="32">
        <v>9</v>
      </c>
      <c r="J13" s="32">
        <v>10</v>
      </c>
      <c r="K13" s="32">
        <v>11</v>
      </c>
      <c r="L13" s="32">
        <v>12</v>
      </c>
      <c r="M13" s="32">
        <v>13</v>
      </c>
      <c r="N13" s="32">
        <v>14</v>
      </c>
      <c r="O13" s="32">
        <v>15</v>
      </c>
      <c r="P13" s="32">
        <v>16</v>
      </c>
      <c r="Q13" s="32">
        <v>17</v>
      </c>
      <c r="R13" s="127">
        <v>18</v>
      </c>
    </row>
    <row r="14" spans="1:18" ht="17.25" customHeight="1">
      <c r="A14" s="128">
        <v>1</v>
      </c>
      <c r="B14" s="116" t="s">
        <v>17</v>
      </c>
      <c r="C14" s="32" t="s">
        <v>18</v>
      </c>
      <c r="D14" s="72">
        <v>36374.365</v>
      </c>
      <c r="E14" s="72">
        <v>34538.1</v>
      </c>
      <c r="F14" s="137">
        <f>SUM(G14:R14)</f>
        <v>49042.56</v>
      </c>
      <c r="G14" s="72">
        <v>11590.48</v>
      </c>
      <c r="H14" s="72">
        <v>9113.48</v>
      </c>
      <c r="I14" s="72">
        <v>7502.77</v>
      </c>
      <c r="J14" s="72">
        <v>991.47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2053.03</v>
      </c>
      <c r="Q14" s="72">
        <v>8011.86</v>
      </c>
      <c r="R14" s="129">
        <v>9779.47</v>
      </c>
    </row>
    <row r="15" spans="1:18" ht="15.75" customHeight="1">
      <c r="A15" s="126" t="s">
        <v>19</v>
      </c>
      <c r="B15" s="130" t="s">
        <v>415</v>
      </c>
      <c r="C15" s="32" t="s">
        <v>18</v>
      </c>
      <c r="D15" s="72">
        <v>591.272</v>
      </c>
      <c r="E15" s="72">
        <v>457.38</v>
      </c>
      <c r="F15" s="138">
        <f>SUM(G15:R15)</f>
        <v>2235.4919999999997</v>
      </c>
      <c r="G15" s="114">
        <v>438.449</v>
      </c>
      <c r="H15" s="114">
        <v>345.052</v>
      </c>
      <c r="I15" s="114">
        <v>401.13</v>
      </c>
      <c r="J15" s="114">
        <v>102.13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150.464</v>
      </c>
      <c r="Q15" s="114">
        <v>428.207</v>
      </c>
      <c r="R15" s="131">
        <v>370.06</v>
      </c>
    </row>
    <row r="16" spans="1:18" ht="12.75">
      <c r="A16" s="126" t="s">
        <v>20</v>
      </c>
      <c r="B16" s="113" t="s">
        <v>21</v>
      </c>
      <c r="C16" s="32" t="s">
        <v>18</v>
      </c>
      <c r="D16" s="72">
        <f>D14-D15</f>
        <v>35783.093</v>
      </c>
      <c r="E16" s="72">
        <f>E14-E15</f>
        <v>34080.72</v>
      </c>
      <c r="F16" s="138">
        <f>F14-F15</f>
        <v>46807.068</v>
      </c>
      <c r="G16" s="114">
        <f aca="true" t="shared" si="0" ref="G16:R16">G14-G15</f>
        <v>11152.030999999999</v>
      </c>
      <c r="H16" s="114">
        <f t="shared" si="0"/>
        <v>8768.428</v>
      </c>
      <c r="I16" s="114">
        <f t="shared" si="0"/>
        <v>7101.64</v>
      </c>
      <c r="J16" s="114">
        <f t="shared" si="0"/>
        <v>889.34</v>
      </c>
      <c r="K16" s="114">
        <f t="shared" si="0"/>
        <v>0</v>
      </c>
      <c r="L16" s="114">
        <f t="shared" si="0"/>
        <v>0</v>
      </c>
      <c r="M16" s="114">
        <f t="shared" si="0"/>
        <v>0</v>
      </c>
      <c r="N16" s="114">
        <f t="shared" si="0"/>
        <v>0</v>
      </c>
      <c r="O16" s="114">
        <f t="shared" si="0"/>
        <v>0</v>
      </c>
      <c r="P16" s="114">
        <f t="shared" si="0"/>
        <v>1902.5660000000003</v>
      </c>
      <c r="Q16" s="114">
        <f t="shared" si="0"/>
        <v>7583.652999999999</v>
      </c>
      <c r="R16" s="131">
        <f t="shared" si="0"/>
        <v>9409.41</v>
      </c>
    </row>
    <row r="17" spans="1:18" ht="26.25" customHeight="1">
      <c r="A17" s="128">
        <v>2</v>
      </c>
      <c r="B17" s="116" t="s">
        <v>418</v>
      </c>
      <c r="C17" s="32" t="s">
        <v>18</v>
      </c>
      <c r="D17" s="72">
        <v>0</v>
      </c>
      <c r="E17" s="72">
        <v>0</v>
      </c>
      <c r="F17" s="137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129">
        <v>0</v>
      </c>
    </row>
    <row r="18" spans="1:18" ht="16.5" customHeight="1">
      <c r="A18" s="126" t="s">
        <v>22</v>
      </c>
      <c r="B18" s="113" t="s">
        <v>23</v>
      </c>
      <c r="C18" s="32" t="s">
        <v>18</v>
      </c>
      <c r="D18" s="72">
        <v>0</v>
      </c>
      <c r="E18" s="72">
        <v>0</v>
      </c>
      <c r="F18" s="137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129">
        <v>0</v>
      </c>
    </row>
    <row r="19" spans="1:18" ht="27" customHeight="1">
      <c r="A19" s="126" t="s">
        <v>24</v>
      </c>
      <c r="B19" s="115" t="s">
        <v>430</v>
      </c>
      <c r="C19" s="32" t="s">
        <v>18</v>
      </c>
      <c r="D19" s="72">
        <v>0</v>
      </c>
      <c r="E19" s="72">
        <v>0</v>
      </c>
      <c r="F19" s="137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129">
        <v>0</v>
      </c>
    </row>
    <row r="20" spans="1:18" ht="27.75" customHeight="1">
      <c r="A20" s="128">
        <v>3</v>
      </c>
      <c r="B20" s="116" t="s">
        <v>428</v>
      </c>
      <c r="C20" s="32" t="s">
        <v>18</v>
      </c>
      <c r="D20" s="72">
        <f>D14</f>
        <v>36374.365</v>
      </c>
      <c r="E20" s="72">
        <f>E14</f>
        <v>34538.1</v>
      </c>
      <c r="F20" s="137">
        <f>F14</f>
        <v>49042.56</v>
      </c>
      <c r="G20" s="72">
        <f aca="true" t="shared" si="1" ref="G20:R20">G14</f>
        <v>11590.48</v>
      </c>
      <c r="H20" s="72">
        <f t="shared" si="1"/>
        <v>9113.48</v>
      </c>
      <c r="I20" s="72">
        <f t="shared" si="1"/>
        <v>7502.77</v>
      </c>
      <c r="J20" s="72">
        <f t="shared" si="1"/>
        <v>991.47</v>
      </c>
      <c r="K20" s="72">
        <f t="shared" si="1"/>
        <v>0</v>
      </c>
      <c r="L20" s="72">
        <f t="shared" si="1"/>
        <v>0</v>
      </c>
      <c r="M20" s="72">
        <f t="shared" si="1"/>
        <v>0</v>
      </c>
      <c r="N20" s="72">
        <f t="shared" si="1"/>
        <v>0</v>
      </c>
      <c r="O20" s="72">
        <f t="shared" si="1"/>
        <v>0</v>
      </c>
      <c r="P20" s="72">
        <f t="shared" si="1"/>
        <v>2053.03</v>
      </c>
      <c r="Q20" s="72">
        <f t="shared" si="1"/>
        <v>8011.86</v>
      </c>
      <c r="R20" s="129">
        <f t="shared" si="1"/>
        <v>9779.47</v>
      </c>
    </row>
    <row r="21" spans="1:18" ht="15" customHeight="1">
      <c r="A21" s="128">
        <v>4</v>
      </c>
      <c r="B21" s="116" t="s">
        <v>419</v>
      </c>
      <c r="C21" s="32" t="s">
        <v>18</v>
      </c>
      <c r="D21" s="72">
        <v>4180.29</v>
      </c>
      <c r="E21" s="72">
        <v>3729.4</v>
      </c>
      <c r="F21" s="137">
        <f>SUM(G21:R21)</f>
        <v>5726.4</v>
      </c>
      <c r="G21" s="72">
        <v>1353.35</v>
      </c>
      <c r="H21" s="72">
        <v>1064.12</v>
      </c>
      <c r="I21" s="72">
        <v>876.05</v>
      </c>
      <c r="J21" s="72">
        <v>115.77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239.73</v>
      </c>
      <c r="Q21" s="72">
        <v>935.49</v>
      </c>
      <c r="R21" s="129">
        <v>1141.89</v>
      </c>
    </row>
    <row r="22" spans="1:18" ht="19.5" customHeight="1">
      <c r="A22" s="126"/>
      <c r="B22" s="113" t="s">
        <v>392</v>
      </c>
      <c r="C22" s="32" t="s">
        <v>25</v>
      </c>
      <c r="D22" s="72">
        <f>D21/D20*100</f>
        <v>11.492406809026082</v>
      </c>
      <c r="E22" s="72">
        <f>E21/E20*100</f>
        <v>10.797930401498636</v>
      </c>
      <c r="F22" s="137">
        <f>F21/F20*100</f>
        <v>11.676388834514349</v>
      </c>
      <c r="G22" s="72">
        <f aca="true" t="shared" si="2" ref="G22:R22">G21/G20*100</f>
        <v>11.676393039805081</v>
      </c>
      <c r="H22" s="72">
        <f t="shared" si="2"/>
        <v>11.676330007856492</v>
      </c>
      <c r="I22" s="72">
        <f t="shared" si="2"/>
        <v>11.676354199848854</v>
      </c>
      <c r="J22" s="72">
        <f t="shared" si="2"/>
        <v>11.676601410027535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f t="shared" si="2"/>
        <v>11.676887332381893</v>
      </c>
      <c r="Q22" s="72">
        <f t="shared" si="2"/>
        <v>11.676314863215284</v>
      </c>
      <c r="R22" s="129">
        <f t="shared" si="2"/>
        <v>11.676399641289356</v>
      </c>
    </row>
    <row r="23" spans="1:18" ht="28.5" customHeight="1">
      <c r="A23" s="126" t="s">
        <v>26</v>
      </c>
      <c r="B23" s="113" t="s">
        <v>420</v>
      </c>
      <c r="C23" s="32" t="s">
        <v>18</v>
      </c>
      <c r="D23" s="72">
        <v>0</v>
      </c>
      <c r="E23" s="72">
        <v>0</v>
      </c>
      <c r="F23" s="137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129">
        <v>0</v>
      </c>
    </row>
    <row r="24" spans="1:18" ht="17.25" customHeight="1">
      <c r="A24" s="126"/>
      <c r="B24" s="113" t="s">
        <v>393</v>
      </c>
      <c r="C24" s="32" t="s">
        <v>25</v>
      </c>
      <c r="D24" s="72">
        <v>0</v>
      </c>
      <c r="E24" s="72">
        <v>0</v>
      </c>
      <c r="F24" s="137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129">
        <v>0</v>
      </c>
    </row>
    <row r="25" spans="1:18" ht="15.75" customHeight="1">
      <c r="A25" s="128">
        <v>5</v>
      </c>
      <c r="B25" s="116" t="s">
        <v>421</v>
      </c>
      <c r="C25" s="32" t="s">
        <v>18</v>
      </c>
      <c r="D25" s="72">
        <v>32194.071</v>
      </c>
      <c r="E25" s="72">
        <v>30808.697</v>
      </c>
      <c r="F25" s="137">
        <f>SUM(G25:R25)</f>
        <v>43316.17800000001</v>
      </c>
      <c r="G25" s="72">
        <v>10237.137</v>
      </c>
      <c r="H25" s="72">
        <v>8049.356</v>
      </c>
      <c r="I25" s="72">
        <v>6626.722</v>
      </c>
      <c r="J25" s="72">
        <v>875.697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1813.317</v>
      </c>
      <c r="Q25" s="72">
        <v>7076.367</v>
      </c>
      <c r="R25" s="129">
        <v>8637.582</v>
      </c>
    </row>
    <row r="26" spans="1:18" ht="16.5" customHeight="1">
      <c r="A26" s="126" t="s">
        <v>27</v>
      </c>
      <c r="B26" s="113" t="s">
        <v>28</v>
      </c>
      <c r="C26" s="32" t="s">
        <v>18</v>
      </c>
      <c r="D26" s="72">
        <v>0</v>
      </c>
      <c r="E26" s="72">
        <v>0</v>
      </c>
      <c r="F26" s="137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129">
        <v>0</v>
      </c>
    </row>
    <row r="27" spans="1:18" ht="15" customHeight="1">
      <c r="A27" s="126" t="s">
        <v>29</v>
      </c>
      <c r="B27" s="121" t="s">
        <v>422</v>
      </c>
      <c r="C27" s="32" t="s">
        <v>18</v>
      </c>
      <c r="D27" s="72">
        <v>0</v>
      </c>
      <c r="E27" s="72">
        <v>0</v>
      </c>
      <c r="F27" s="137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129">
        <v>0</v>
      </c>
    </row>
    <row r="28" spans="1:18" ht="24.75" customHeight="1">
      <c r="A28" s="126" t="s">
        <v>30</v>
      </c>
      <c r="B28" s="113" t="s">
        <v>424</v>
      </c>
      <c r="C28" s="32" t="s">
        <v>18</v>
      </c>
      <c r="D28" s="72">
        <f>D25</f>
        <v>32194.071</v>
      </c>
      <c r="E28" s="72">
        <f>E25</f>
        <v>30808.697</v>
      </c>
      <c r="F28" s="137">
        <f>F25</f>
        <v>43316.17800000001</v>
      </c>
      <c r="G28" s="72">
        <f aca="true" t="shared" si="3" ref="G28:R28">G25</f>
        <v>10237.137</v>
      </c>
      <c r="H28" s="72">
        <f t="shared" si="3"/>
        <v>8049.356</v>
      </c>
      <c r="I28" s="72">
        <f t="shared" si="3"/>
        <v>6626.722</v>
      </c>
      <c r="J28" s="72">
        <f t="shared" si="3"/>
        <v>875.697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f t="shared" si="3"/>
        <v>1813.317</v>
      </c>
      <c r="Q28" s="72">
        <f t="shared" si="3"/>
        <v>7076.367</v>
      </c>
      <c r="R28" s="129">
        <f t="shared" si="3"/>
        <v>8637.582</v>
      </c>
    </row>
    <row r="29" spans="1:18" ht="16.5" customHeight="1">
      <c r="A29" s="126" t="s">
        <v>31</v>
      </c>
      <c r="B29" s="113" t="s">
        <v>32</v>
      </c>
      <c r="C29" s="32" t="s">
        <v>18</v>
      </c>
      <c r="D29" s="72">
        <v>20866.554</v>
      </c>
      <c r="E29" s="72">
        <v>19953.198</v>
      </c>
      <c r="F29" s="137">
        <f>SUM(G29:R29)</f>
        <v>24127.201</v>
      </c>
      <c r="G29" s="72">
        <v>5702.109</v>
      </c>
      <c r="H29" s="72">
        <v>4483.506</v>
      </c>
      <c r="I29" s="72">
        <v>3691.099</v>
      </c>
      <c r="J29" s="72">
        <v>487.765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1010.02</v>
      </c>
      <c r="Q29" s="72">
        <v>3941.552</v>
      </c>
      <c r="R29" s="129">
        <v>4811.15</v>
      </c>
    </row>
    <row r="30" spans="1:18" ht="16.5" customHeight="1">
      <c r="A30" s="126"/>
      <c r="B30" s="113" t="s">
        <v>394</v>
      </c>
      <c r="C30" s="32" t="s">
        <v>25</v>
      </c>
      <c r="D30" s="72">
        <f>D29/D28*100</f>
        <v>64.81489712810784</v>
      </c>
      <c r="E30" s="72">
        <f>E29/E28*100</f>
        <v>64.76482273820278</v>
      </c>
      <c r="F30" s="137">
        <f>F29/F28*100</f>
        <v>55.70020743750752</v>
      </c>
      <c r="G30" s="72">
        <f aca="true" t="shared" si="4" ref="G30:R30">G29/G28*100</f>
        <v>55.70023142212514</v>
      </c>
      <c r="H30" s="72">
        <f t="shared" si="4"/>
        <v>55.70018272269236</v>
      </c>
      <c r="I30" s="72">
        <f t="shared" si="4"/>
        <v>55.700224032334546</v>
      </c>
      <c r="J30" s="72">
        <f t="shared" si="4"/>
        <v>55.700202238902264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f t="shared" si="4"/>
        <v>55.700134063707566</v>
      </c>
      <c r="Q30" s="72">
        <f t="shared" si="4"/>
        <v>55.70022018360551</v>
      </c>
      <c r="R30" s="129">
        <f t="shared" si="4"/>
        <v>55.700194799887285</v>
      </c>
    </row>
    <row r="31" spans="1:18" ht="15" customHeight="1">
      <c r="A31" s="126" t="s">
        <v>33</v>
      </c>
      <c r="B31" s="113" t="s">
        <v>423</v>
      </c>
      <c r="C31" s="32" t="s">
        <v>18</v>
      </c>
      <c r="D31" s="72">
        <v>9677.066</v>
      </c>
      <c r="E31" s="72">
        <v>9321.83</v>
      </c>
      <c r="F31" s="137">
        <f>SUM(G31:R31)</f>
        <v>16021.326000000001</v>
      </c>
      <c r="G31" s="72">
        <v>3786.401</v>
      </c>
      <c r="H31" s="72">
        <v>2977.211</v>
      </c>
      <c r="I31" s="72">
        <v>2451.021</v>
      </c>
      <c r="J31" s="72">
        <v>323.893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670.691</v>
      </c>
      <c r="Q31" s="72">
        <v>2617.33</v>
      </c>
      <c r="R31" s="129">
        <v>3194.779</v>
      </c>
    </row>
    <row r="32" spans="1:18" ht="15" customHeight="1">
      <c r="A32" s="126"/>
      <c r="B32" s="113" t="s">
        <v>395</v>
      </c>
      <c r="C32" s="32" t="s">
        <v>25</v>
      </c>
      <c r="D32" s="72">
        <f>D31/D28*100</f>
        <v>30.058534691061595</v>
      </c>
      <c r="E32" s="72">
        <f>E31/E28*100</f>
        <v>30.257138106165282</v>
      </c>
      <c r="F32" s="137">
        <f>F31/F28*100</f>
        <v>36.98693361173277</v>
      </c>
      <c r="G32" s="72">
        <f aca="true" t="shared" si="5" ref="G32:R32">G31/G28*100</f>
        <v>36.98691343097196</v>
      </c>
      <c r="H32" s="72">
        <f t="shared" si="5"/>
        <v>36.98694653336242</v>
      </c>
      <c r="I32" s="72">
        <f t="shared" si="5"/>
        <v>36.98692958600044</v>
      </c>
      <c r="J32" s="72">
        <f t="shared" si="5"/>
        <v>36.98688016517128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f t="shared" si="5"/>
        <v>36.98696918409743</v>
      </c>
      <c r="Q32" s="72">
        <f t="shared" si="5"/>
        <v>36.98691715678398</v>
      </c>
      <c r="R32" s="129">
        <f t="shared" si="5"/>
        <v>36.986960008020766</v>
      </c>
    </row>
    <row r="33" spans="1:18" ht="15" customHeight="1">
      <c r="A33" s="126" t="s">
        <v>34</v>
      </c>
      <c r="B33" s="113" t="s">
        <v>35</v>
      </c>
      <c r="C33" s="32" t="s">
        <v>18</v>
      </c>
      <c r="D33" s="72">
        <v>1650.451</v>
      </c>
      <c r="E33" s="72">
        <v>1533.669</v>
      </c>
      <c r="F33" s="137">
        <f>SUM(G33:R33)</f>
        <v>3167.649</v>
      </c>
      <c r="G33" s="72">
        <v>748.627</v>
      </c>
      <c r="H33" s="72">
        <v>588.638</v>
      </c>
      <c r="I33" s="72">
        <v>484.602</v>
      </c>
      <c r="J33" s="72">
        <v>64.039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132.605</v>
      </c>
      <c r="Q33" s="72">
        <v>517.484</v>
      </c>
      <c r="R33" s="129">
        <v>631.654</v>
      </c>
    </row>
    <row r="34" spans="1:18" ht="14.25" customHeight="1">
      <c r="A34" s="126"/>
      <c r="B34" s="113" t="s">
        <v>395</v>
      </c>
      <c r="C34" s="32" t="s">
        <v>25</v>
      </c>
      <c r="D34" s="72">
        <f>D33/D28*100</f>
        <v>5.126568180830564</v>
      </c>
      <c r="E34" s="72">
        <f>E33/E28*100</f>
        <v>4.978039155631931</v>
      </c>
      <c r="F34" s="137">
        <f>F33/F28*100</f>
        <v>7.312854333547154</v>
      </c>
      <c r="G34" s="72">
        <f aca="true" t="shared" si="6" ref="G34:R34">G33/G28*100</f>
        <v>7.312855146902889</v>
      </c>
      <c r="H34" s="72">
        <f t="shared" si="6"/>
        <v>7.312858320591113</v>
      </c>
      <c r="I34" s="72">
        <f t="shared" si="6"/>
        <v>7.312846381665023</v>
      </c>
      <c r="J34" s="72">
        <f t="shared" si="6"/>
        <v>7.312917595926445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f t="shared" si="6"/>
        <v>7.312841604639453</v>
      </c>
      <c r="Q34" s="72">
        <f t="shared" si="6"/>
        <v>7.31284852806532</v>
      </c>
      <c r="R34" s="129">
        <f t="shared" si="6"/>
        <v>7.312856769406068</v>
      </c>
    </row>
    <row r="35" spans="1:18" ht="26.25" customHeight="1">
      <c r="A35" s="128">
        <v>6</v>
      </c>
      <c r="B35" s="116" t="s">
        <v>425</v>
      </c>
      <c r="C35" s="32" t="s">
        <v>36</v>
      </c>
      <c r="D35" s="72">
        <v>24.5362</v>
      </c>
      <c r="E35" s="72">
        <v>24.5158</v>
      </c>
      <c r="F35" s="137">
        <f>F36+F37+F38</f>
        <v>24.5707</v>
      </c>
      <c r="G35" s="72">
        <f>F35</f>
        <v>24.5707</v>
      </c>
      <c r="H35" s="72">
        <f aca="true" t="shared" si="7" ref="H35:R35">G35</f>
        <v>24.5707</v>
      </c>
      <c r="I35" s="72">
        <f t="shared" si="7"/>
        <v>24.5707</v>
      </c>
      <c r="J35" s="72">
        <f t="shared" si="7"/>
        <v>24.5707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f>J35</f>
        <v>24.5707</v>
      </c>
      <c r="Q35" s="72">
        <f t="shared" si="7"/>
        <v>24.5707</v>
      </c>
      <c r="R35" s="129">
        <f t="shared" si="7"/>
        <v>24.5707</v>
      </c>
    </row>
    <row r="36" spans="1:18" ht="12.75">
      <c r="A36" s="126" t="s">
        <v>37</v>
      </c>
      <c r="B36" s="113" t="s">
        <v>38</v>
      </c>
      <c r="C36" s="32" t="s">
        <v>36</v>
      </c>
      <c r="D36" s="72">
        <v>13.7</v>
      </c>
      <c r="E36" s="72">
        <v>13.7</v>
      </c>
      <c r="F36" s="137">
        <v>13.6862</v>
      </c>
      <c r="G36" s="72">
        <v>13.8534</v>
      </c>
      <c r="H36" s="72">
        <v>13.8534</v>
      </c>
      <c r="I36" s="72">
        <v>13.8534</v>
      </c>
      <c r="J36" s="72">
        <v>13.8534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13.8534</v>
      </c>
      <c r="Q36" s="72">
        <v>13.8534</v>
      </c>
      <c r="R36" s="129">
        <v>13.8534</v>
      </c>
    </row>
    <row r="37" spans="1:18" ht="12.75">
      <c r="A37" s="126" t="s">
        <v>39</v>
      </c>
      <c r="B37" s="113" t="s">
        <v>40</v>
      </c>
      <c r="C37" s="32" t="s">
        <v>36</v>
      </c>
      <c r="D37" s="72">
        <v>8.9517</v>
      </c>
      <c r="E37" s="72">
        <v>9.1103</v>
      </c>
      <c r="F37" s="137">
        <v>9.0883</v>
      </c>
      <c r="G37" s="72">
        <v>9.0883</v>
      </c>
      <c r="H37" s="72">
        <v>9.0883</v>
      </c>
      <c r="I37" s="72">
        <v>9.0883</v>
      </c>
      <c r="J37" s="72">
        <v>9.0883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9.0883</v>
      </c>
      <c r="Q37" s="72">
        <v>9.0883</v>
      </c>
      <c r="R37" s="129">
        <v>9.0883</v>
      </c>
    </row>
    <row r="38" spans="1:18" ht="12.75">
      <c r="A38" s="126" t="s">
        <v>41</v>
      </c>
      <c r="B38" s="113" t="s">
        <v>42</v>
      </c>
      <c r="C38" s="32" t="s">
        <v>36</v>
      </c>
      <c r="D38" s="72">
        <v>1.8845</v>
      </c>
      <c r="E38" s="72">
        <v>1.7055</v>
      </c>
      <c r="F38" s="137">
        <v>1.7962</v>
      </c>
      <c r="G38" s="72">
        <v>1.7962</v>
      </c>
      <c r="H38" s="72">
        <v>1.7962</v>
      </c>
      <c r="I38" s="72">
        <v>1.7962</v>
      </c>
      <c r="J38" s="72">
        <v>1.7962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1.7962</v>
      </c>
      <c r="Q38" s="72">
        <v>1.7962</v>
      </c>
      <c r="R38" s="129">
        <v>1.7962</v>
      </c>
    </row>
    <row r="39" spans="1:18" ht="25.5">
      <c r="A39" s="132">
        <v>7</v>
      </c>
      <c r="B39" s="214" t="s">
        <v>426</v>
      </c>
      <c r="C39" s="32" t="s">
        <v>18</v>
      </c>
      <c r="D39" s="72">
        <v>36374.365</v>
      </c>
      <c r="E39" s="72">
        <v>34538.1</v>
      </c>
      <c r="F39" s="137">
        <f>SUM(G39:R39)</f>
        <v>49042.56</v>
      </c>
      <c r="G39" s="72">
        <v>11590.48</v>
      </c>
      <c r="H39" s="72">
        <v>9113.48</v>
      </c>
      <c r="I39" s="72">
        <v>7502.77</v>
      </c>
      <c r="J39" s="72">
        <v>991.47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2053.03</v>
      </c>
      <c r="Q39" s="72">
        <v>8011.86</v>
      </c>
      <c r="R39" s="129">
        <v>9779.47</v>
      </c>
    </row>
    <row r="40" spans="1:18" ht="12.75">
      <c r="A40" s="132">
        <v>7.1</v>
      </c>
      <c r="B40" s="117" t="s">
        <v>396</v>
      </c>
      <c r="C40" s="32" t="s">
        <v>18</v>
      </c>
      <c r="D40" s="157">
        <f>SUM(D41,D42,D43)</f>
        <v>36374.365</v>
      </c>
      <c r="E40" s="160">
        <f>SUM(E41,E42,E43)</f>
        <v>34538.1</v>
      </c>
      <c r="F40" s="148">
        <f>SUM(F41,F42,F43)</f>
        <v>49042.56490425601</v>
      </c>
      <c r="G40" s="162">
        <f>SUM(G41:G43)</f>
        <v>11590.481159048002</v>
      </c>
      <c r="H40" s="162">
        <f aca="true" t="shared" si="8" ref="H40:R40">SUM(H41:H43)</f>
        <v>9113.480911348</v>
      </c>
      <c r="I40" s="162">
        <f t="shared" si="8"/>
        <v>7502.770750277002</v>
      </c>
      <c r="J40" s="162">
        <f t="shared" si="8"/>
        <v>991.4700991469999</v>
      </c>
      <c r="K40" s="162">
        <f t="shared" si="8"/>
        <v>0</v>
      </c>
      <c r="L40" s="162">
        <f t="shared" si="8"/>
        <v>0</v>
      </c>
      <c r="M40" s="162">
        <f t="shared" si="8"/>
        <v>0</v>
      </c>
      <c r="N40" s="162">
        <f t="shared" si="8"/>
        <v>0</v>
      </c>
      <c r="O40" s="162">
        <f t="shared" si="8"/>
        <v>0</v>
      </c>
      <c r="P40" s="162">
        <f t="shared" si="8"/>
        <v>2053.0302053030005</v>
      </c>
      <c r="Q40" s="162">
        <f t="shared" si="8"/>
        <v>8011.860801186</v>
      </c>
      <c r="R40" s="163">
        <f t="shared" si="8"/>
        <v>9779.470977947</v>
      </c>
    </row>
    <row r="41" spans="1:18" ht="12.75">
      <c r="A41" s="133" t="s">
        <v>398</v>
      </c>
      <c r="B41" s="119" t="s">
        <v>38</v>
      </c>
      <c r="C41" s="32" t="s">
        <v>18</v>
      </c>
      <c r="D41" s="157">
        <v>23603.444</v>
      </c>
      <c r="E41" s="157">
        <v>22374.068</v>
      </c>
      <c r="F41" s="142">
        <f>SUM(G41:R41)</f>
        <v>27325.582623360006</v>
      </c>
      <c r="G41" s="162">
        <f>PRODUCT(G39,0.557181)</f>
        <v>6457.99523688</v>
      </c>
      <c r="H41" s="162">
        <f aca="true" t="shared" si="9" ref="H41:R41">PRODUCT(H39,0.557181)</f>
        <v>5077.85789988</v>
      </c>
      <c r="I41" s="162">
        <f t="shared" si="9"/>
        <v>4180.400891370001</v>
      </c>
      <c r="J41" s="162">
        <f t="shared" si="9"/>
        <v>552.42824607</v>
      </c>
      <c r="K41" s="162">
        <f t="shared" si="9"/>
        <v>0</v>
      </c>
      <c r="L41" s="162">
        <f t="shared" si="9"/>
        <v>0</v>
      </c>
      <c r="M41" s="162">
        <f t="shared" si="9"/>
        <v>0</v>
      </c>
      <c r="N41" s="162">
        <f t="shared" si="9"/>
        <v>0</v>
      </c>
      <c r="O41" s="162">
        <f t="shared" si="9"/>
        <v>0</v>
      </c>
      <c r="P41" s="162">
        <f t="shared" si="9"/>
        <v>1143.9093084300002</v>
      </c>
      <c r="Q41" s="162">
        <f t="shared" si="9"/>
        <v>4464.05616666</v>
      </c>
      <c r="R41" s="162">
        <f t="shared" si="9"/>
        <v>5448.93487407</v>
      </c>
    </row>
    <row r="42" spans="1:18" ht="12.75">
      <c r="A42" s="133" t="s">
        <v>397</v>
      </c>
      <c r="B42" s="118" t="s">
        <v>40</v>
      </c>
      <c r="C42" s="32" t="s">
        <v>18</v>
      </c>
      <c r="D42" s="74">
        <v>10901.226</v>
      </c>
      <c r="E42" s="74">
        <v>10445.559</v>
      </c>
      <c r="F42" s="142">
        <f>SUM(G42:R42)</f>
        <v>18133.677825984003</v>
      </c>
      <c r="G42" s="162">
        <f>PRODUCT(G39,0.3697539)</f>
        <v>4285.625182872001</v>
      </c>
      <c r="H42" s="162">
        <f aca="true" t="shared" si="10" ref="H42:R42">PRODUCT(H39,0.3697539)</f>
        <v>3369.744772572</v>
      </c>
      <c r="I42" s="162">
        <f t="shared" si="10"/>
        <v>2774.1784683030005</v>
      </c>
      <c r="J42" s="162">
        <f t="shared" si="10"/>
        <v>366.59989923300003</v>
      </c>
      <c r="K42" s="162">
        <f t="shared" si="10"/>
        <v>0</v>
      </c>
      <c r="L42" s="162">
        <f t="shared" si="10"/>
        <v>0</v>
      </c>
      <c r="M42" s="162">
        <f t="shared" si="10"/>
        <v>0</v>
      </c>
      <c r="N42" s="162">
        <f t="shared" si="10"/>
        <v>0</v>
      </c>
      <c r="O42" s="162">
        <f t="shared" si="10"/>
        <v>0</v>
      </c>
      <c r="P42" s="162">
        <f t="shared" si="10"/>
        <v>759.1158493170001</v>
      </c>
      <c r="Q42" s="162">
        <f t="shared" si="10"/>
        <v>2962.4164812540002</v>
      </c>
      <c r="R42" s="162">
        <f t="shared" si="10"/>
        <v>3615.997172433</v>
      </c>
    </row>
    <row r="43" spans="1:18" ht="13.5" thickBot="1">
      <c r="A43" s="134" t="s">
        <v>399</v>
      </c>
      <c r="B43" s="135" t="s">
        <v>42</v>
      </c>
      <c r="C43" s="136" t="s">
        <v>18</v>
      </c>
      <c r="D43" s="141">
        <v>1869.695</v>
      </c>
      <c r="E43" s="141">
        <v>1718.473</v>
      </c>
      <c r="F43" s="143">
        <f>SUM(G43:R43)</f>
        <v>3583.3044549120004</v>
      </c>
      <c r="G43" s="244">
        <f>PRODUCT(G39,0.0730652)</f>
        <v>846.8607392959999</v>
      </c>
      <c r="H43" s="244">
        <f aca="true" t="shared" si="11" ref="H43:R43">PRODUCT(H39,0.0730652)</f>
        <v>665.878238896</v>
      </c>
      <c r="I43" s="244">
        <f t="shared" si="11"/>
        <v>548.191390604</v>
      </c>
      <c r="J43" s="244">
        <f t="shared" si="11"/>
        <v>72.441953844</v>
      </c>
      <c r="K43" s="244">
        <f t="shared" si="11"/>
        <v>0</v>
      </c>
      <c r="L43" s="244">
        <f t="shared" si="11"/>
        <v>0</v>
      </c>
      <c r="M43" s="244">
        <f t="shared" si="11"/>
        <v>0</v>
      </c>
      <c r="N43" s="244">
        <f t="shared" si="11"/>
        <v>0</v>
      </c>
      <c r="O43" s="244">
        <f t="shared" si="11"/>
        <v>0</v>
      </c>
      <c r="P43" s="244">
        <f t="shared" si="11"/>
        <v>150.00504755600002</v>
      </c>
      <c r="Q43" s="244">
        <f t="shared" si="11"/>
        <v>585.388153272</v>
      </c>
      <c r="R43" s="244">
        <f t="shared" si="11"/>
        <v>714.5389314439999</v>
      </c>
    </row>
    <row r="44" spans="1:18" ht="24" customHeight="1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</row>
    <row r="45" spans="1:18" ht="15.75">
      <c r="A45" s="327" t="s">
        <v>388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</row>
    <row r="46" spans="1:18" ht="12.75">
      <c r="A46" s="312" t="s">
        <v>400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</row>
  </sheetData>
  <sheetProtection/>
  <mergeCells count="19">
    <mergeCell ref="A44:R44"/>
    <mergeCell ref="A45:R45"/>
    <mergeCell ref="A46:R46"/>
    <mergeCell ref="A7:R7"/>
    <mergeCell ref="A8:R8"/>
    <mergeCell ref="A9:R9"/>
    <mergeCell ref="A10:A12"/>
    <mergeCell ref="B10:B12"/>
    <mergeCell ref="C10:C12"/>
    <mergeCell ref="D10:D12"/>
    <mergeCell ref="E10:E12"/>
    <mergeCell ref="F10:F12"/>
    <mergeCell ref="G10:R10"/>
    <mergeCell ref="A1:B1"/>
    <mergeCell ref="M1:R3"/>
    <mergeCell ref="A2:B2"/>
    <mergeCell ref="A3:B3"/>
    <mergeCell ref="A5:R5"/>
    <mergeCell ref="A6:R6"/>
  </mergeCells>
  <printOptions/>
  <pageMargins left="0.25" right="0.21" top="0.53" bottom="0.23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V68"/>
  <sheetViews>
    <sheetView zoomScale="75" zoomScaleNormal="75" zoomScalePageLayoutView="0" workbookViewId="0" topLeftCell="B25">
      <selection activeCell="E28" sqref="E28"/>
    </sheetView>
  </sheetViews>
  <sheetFormatPr defaultColWidth="9.140625" defaultRowHeight="12.75"/>
  <cols>
    <col min="1" max="1" width="6.00390625" style="24" customWidth="1"/>
    <col min="2" max="2" width="31.57421875" style="25" customWidth="1"/>
    <col min="3" max="3" width="9.140625" style="25" customWidth="1"/>
    <col min="4" max="6" width="13.421875" style="25" bestFit="1" customWidth="1"/>
    <col min="7" max="7" width="14.7109375" style="25" customWidth="1"/>
    <col min="8" max="8" width="11.28125" style="25" customWidth="1"/>
    <col min="9" max="9" width="12.28125" style="25" bestFit="1" customWidth="1"/>
    <col min="10" max="10" width="13.421875" style="25" bestFit="1" customWidth="1"/>
    <col min="11" max="11" width="14.57421875" style="25" customWidth="1"/>
    <col min="12" max="13" width="11.140625" style="25" bestFit="1" customWidth="1"/>
    <col min="14" max="15" width="13.421875" style="25" bestFit="1" customWidth="1"/>
    <col min="16" max="17" width="11.00390625" style="25" bestFit="1" customWidth="1"/>
    <col min="18" max="19" width="13.421875" style="25" bestFit="1" customWidth="1"/>
    <col min="20" max="20" width="11.00390625" style="25" bestFit="1" customWidth="1"/>
    <col min="21" max="21" width="9.140625" style="25" customWidth="1"/>
    <col min="22" max="22" width="9.8515625" style="25" bestFit="1" customWidth="1"/>
    <col min="23" max="16384" width="9.140625" style="25" customWidth="1"/>
  </cols>
  <sheetData>
    <row r="1" spans="1:19" ht="12.75" customHeight="1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97" t="s">
        <v>347</v>
      </c>
      <c r="O1" s="297"/>
      <c r="P1" s="297"/>
      <c r="Q1" s="297"/>
      <c r="R1" s="297"/>
      <c r="S1" s="297"/>
    </row>
    <row r="2" spans="1:19" ht="12.75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97"/>
      <c r="O2" s="297"/>
      <c r="P2" s="297"/>
      <c r="Q2" s="297"/>
      <c r="R2" s="297"/>
      <c r="S2" s="297"/>
    </row>
    <row r="3" spans="1:19" ht="12.75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297"/>
      <c r="O3" s="297"/>
      <c r="P3" s="297"/>
      <c r="Q3" s="297"/>
      <c r="R3" s="297"/>
      <c r="S3" s="297"/>
    </row>
    <row r="4" spans="1:19" ht="12.75" customHeight="1">
      <c r="A4" s="298" t="s">
        <v>44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</row>
    <row r="5" spans="1:19" ht="12.75" customHeight="1">
      <c r="A5" s="298" t="s">
        <v>45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</row>
    <row r="6" spans="1:19" ht="12.75" customHeight="1">
      <c r="A6" s="332" t="s">
        <v>46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</row>
    <row r="7" spans="1:19" ht="12.75">
      <c r="A7" s="303" t="s">
        <v>327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</row>
    <row r="8" spans="1:19" ht="25.5" customHeight="1">
      <c r="A8" s="305" t="s">
        <v>1</v>
      </c>
      <c r="B8" s="306" t="s">
        <v>2</v>
      </c>
      <c r="C8" s="307" t="s">
        <v>47</v>
      </c>
      <c r="D8" s="307" t="s">
        <v>48</v>
      </c>
      <c r="E8" s="307"/>
      <c r="F8" s="307"/>
      <c r="G8" s="307"/>
      <c r="H8" s="307" t="s">
        <v>49</v>
      </c>
      <c r="I8" s="307"/>
      <c r="J8" s="307"/>
      <c r="K8" s="307"/>
      <c r="L8" s="307" t="s">
        <v>50</v>
      </c>
      <c r="M8" s="307"/>
      <c r="N8" s="307"/>
      <c r="O8" s="307"/>
      <c r="P8" s="307" t="s">
        <v>51</v>
      </c>
      <c r="Q8" s="307"/>
      <c r="R8" s="307"/>
      <c r="S8" s="307"/>
    </row>
    <row r="9" spans="1:19" ht="12.75" customHeight="1">
      <c r="A9" s="305"/>
      <c r="B9" s="295"/>
      <c r="C9" s="307"/>
      <c r="D9" s="307" t="s">
        <v>346</v>
      </c>
      <c r="E9" s="307" t="s">
        <v>345</v>
      </c>
      <c r="F9" s="307" t="s">
        <v>380</v>
      </c>
      <c r="G9" s="307" t="s">
        <v>381</v>
      </c>
      <c r="H9" s="307" t="s">
        <v>346</v>
      </c>
      <c r="I9" s="307" t="s">
        <v>345</v>
      </c>
      <c r="J9" s="307" t="s">
        <v>380</v>
      </c>
      <c r="K9" s="307" t="s">
        <v>381</v>
      </c>
      <c r="L9" s="307" t="s">
        <v>346</v>
      </c>
      <c r="M9" s="307" t="s">
        <v>345</v>
      </c>
      <c r="N9" s="307" t="s">
        <v>380</v>
      </c>
      <c r="O9" s="307" t="s">
        <v>382</v>
      </c>
      <c r="P9" s="307" t="s">
        <v>346</v>
      </c>
      <c r="Q9" s="307" t="s">
        <v>345</v>
      </c>
      <c r="R9" s="307" t="s">
        <v>380</v>
      </c>
      <c r="S9" s="307" t="s">
        <v>381</v>
      </c>
    </row>
    <row r="10" spans="1:19" ht="12.75">
      <c r="A10" s="305"/>
      <c r="B10" s="295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</row>
    <row r="11" spans="1:19" ht="12.75">
      <c r="A11" s="305"/>
      <c r="B11" s="295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</row>
    <row r="12" spans="1:19" ht="12.75">
      <c r="A12" s="305"/>
      <c r="B12" s="295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</row>
    <row r="13" spans="1:19" ht="25.5" customHeight="1">
      <c r="A13" s="305"/>
      <c r="B13" s="296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</row>
    <row r="14" spans="1:19" ht="12.75">
      <c r="A14" s="35">
        <v>1</v>
      </c>
      <c r="B14" s="37">
        <v>2</v>
      </c>
      <c r="C14" s="37">
        <v>3</v>
      </c>
      <c r="D14" s="37">
        <v>4</v>
      </c>
      <c r="E14" s="37">
        <v>5</v>
      </c>
      <c r="F14" s="37">
        <v>6</v>
      </c>
      <c r="G14" s="37">
        <v>7</v>
      </c>
      <c r="H14" s="37">
        <v>8</v>
      </c>
      <c r="I14" s="37">
        <v>9</v>
      </c>
      <c r="J14" s="37">
        <v>10</v>
      </c>
      <c r="K14" s="37">
        <v>11</v>
      </c>
      <c r="L14" s="37">
        <v>12</v>
      </c>
      <c r="M14" s="37">
        <v>13</v>
      </c>
      <c r="N14" s="37">
        <v>14</v>
      </c>
      <c r="O14" s="37">
        <v>15</v>
      </c>
      <c r="P14" s="37">
        <v>16</v>
      </c>
      <c r="Q14" s="37">
        <v>17</v>
      </c>
      <c r="R14" s="37">
        <v>18</v>
      </c>
      <c r="S14" s="37">
        <v>19</v>
      </c>
    </row>
    <row r="15" spans="1:20" ht="12.75">
      <c r="A15" s="35">
        <v>1</v>
      </c>
      <c r="B15" s="36" t="s">
        <v>52</v>
      </c>
      <c r="C15" s="37" t="s">
        <v>53</v>
      </c>
      <c r="D15" s="72">
        <f>D16+D23+D27</f>
        <v>38494.181000000004</v>
      </c>
      <c r="E15" s="72">
        <f>E16+E23+E27</f>
        <v>50158.288</v>
      </c>
      <c r="F15" s="72">
        <f aca="true" t="shared" si="0" ref="F15:S15">F16+F23+F27</f>
        <v>69165.29000000001</v>
      </c>
      <c r="G15" s="72">
        <f t="shared" si="0"/>
        <v>0</v>
      </c>
      <c r="H15" s="72">
        <f t="shared" si="0"/>
        <v>25022.539000000004</v>
      </c>
      <c r="I15" s="72">
        <f t="shared" si="0"/>
        <v>31765.762000000002</v>
      </c>
      <c r="J15" s="72">
        <f>J16+J23+J27</f>
        <v>39304.54</v>
      </c>
      <c r="K15" s="72">
        <f t="shared" si="0"/>
        <v>0</v>
      </c>
      <c r="L15" s="72">
        <f t="shared" si="0"/>
        <v>11260.713</v>
      </c>
      <c r="M15" s="72">
        <f t="shared" si="0"/>
        <v>15268.204999999998</v>
      </c>
      <c r="N15" s="72">
        <f>N16+N23+N27</f>
        <v>24647.334</v>
      </c>
      <c r="O15" s="72">
        <f t="shared" si="0"/>
        <v>0</v>
      </c>
      <c r="P15" s="72">
        <f t="shared" si="0"/>
        <v>2210.929</v>
      </c>
      <c r="Q15" s="72">
        <f t="shared" si="0"/>
        <v>3124.320999999999</v>
      </c>
      <c r="R15" s="72">
        <f>R16+R23+R27</f>
        <v>5213.416</v>
      </c>
      <c r="S15" s="72">
        <f t="shared" si="0"/>
        <v>0</v>
      </c>
      <c r="T15" s="76">
        <f aca="true" t="shared" si="1" ref="T15:T37">K15+O15+S15</f>
        <v>0</v>
      </c>
    </row>
    <row r="16" spans="1:20" ht="25.5">
      <c r="A16" s="35" t="s">
        <v>19</v>
      </c>
      <c r="B16" s="36" t="s">
        <v>54</v>
      </c>
      <c r="C16" s="37" t="s">
        <v>53</v>
      </c>
      <c r="D16" s="72">
        <f>D17+D18+D19+D20+D21+D22</f>
        <v>34732.026</v>
      </c>
      <c r="E16" s="72">
        <f>E17+E18+E19+E20+E21+E22</f>
        <v>44899.568</v>
      </c>
      <c r="F16" s="72">
        <f>J16+N16+R16</f>
        <v>61739.598</v>
      </c>
      <c r="G16" s="72">
        <f aca="true" t="shared" si="2" ref="G16:S16">G17+G18+G19+G20+G21+G22</f>
        <v>0</v>
      </c>
      <c r="H16" s="72">
        <f t="shared" si="2"/>
        <v>22464.273000000005</v>
      </c>
      <c r="I16" s="72">
        <f t="shared" si="2"/>
        <v>28189.832000000002</v>
      </c>
      <c r="J16" s="72">
        <f>J17+J18+J19+J20+J21+J22</f>
        <v>35135.756</v>
      </c>
      <c r="K16" s="72">
        <f t="shared" si="2"/>
        <v>0</v>
      </c>
      <c r="L16" s="72">
        <f t="shared" si="2"/>
        <v>10244.931</v>
      </c>
      <c r="M16" s="72">
        <f t="shared" si="2"/>
        <v>13848.350999999999</v>
      </c>
      <c r="N16" s="72">
        <f>N17+N18+N19+N20+N21+N22</f>
        <v>21956.261</v>
      </c>
      <c r="O16" s="72">
        <f t="shared" si="2"/>
        <v>0</v>
      </c>
      <c r="P16" s="72">
        <f t="shared" si="2"/>
        <v>2022.8220000000001</v>
      </c>
      <c r="Q16" s="72">
        <f t="shared" si="2"/>
        <v>2861.3849999999993</v>
      </c>
      <c r="R16" s="72">
        <f>R17+R18+R19+R20+R21+R22</f>
        <v>4647.581</v>
      </c>
      <c r="S16" s="72">
        <f t="shared" si="2"/>
        <v>0</v>
      </c>
      <c r="T16" s="76">
        <f t="shared" si="1"/>
        <v>0</v>
      </c>
    </row>
    <row r="17" spans="1:20" ht="12.75">
      <c r="A17" s="35" t="s">
        <v>55</v>
      </c>
      <c r="B17" s="37" t="s">
        <v>56</v>
      </c>
      <c r="C17" s="37" t="s">
        <v>53</v>
      </c>
      <c r="D17" s="72">
        <f>H17+L17+P17</f>
        <v>30750.038999999997</v>
      </c>
      <c r="E17" s="72">
        <f>I17+M17+Q17</f>
        <v>39164.079</v>
      </c>
      <c r="F17" s="72">
        <f aca="true" t="shared" si="3" ref="F17:F51">J17+N17+R17</f>
        <v>50664.702000000005</v>
      </c>
      <c r="G17" s="72">
        <f>K17+O17+S17</f>
        <v>0</v>
      </c>
      <c r="H17" s="74">
        <v>19756.521</v>
      </c>
      <c r="I17" s="72">
        <v>24289.7</v>
      </c>
      <c r="J17" s="72">
        <v>28918.309</v>
      </c>
      <c r="K17" s="72"/>
      <c r="L17" s="72">
        <v>9169.795</v>
      </c>
      <c r="M17" s="72">
        <v>12299.77</v>
      </c>
      <c r="N17" s="72">
        <v>17942.718</v>
      </c>
      <c r="O17" s="72"/>
      <c r="P17" s="72">
        <v>1823.723</v>
      </c>
      <c r="Q17" s="72">
        <v>2574.609</v>
      </c>
      <c r="R17" s="72">
        <v>3803.675</v>
      </c>
      <c r="S17" s="72"/>
      <c r="T17" s="76">
        <f t="shared" si="1"/>
        <v>0</v>
      </c>
    </row>
    <row r="18" spans="1:20" ht="12.75">
      <c r="A18" s="35" t="s">
        <v>57</v>
      </c>
      <c r="B18" s="37" t="s">
        <v>58</v>
      </c>
      <c r="C18" s="37" t="s">
        <v>53</v>
      </c>
      <c r="D18" s="72">
        <f>H18+L18+P18</f>
        <v>783.645</v>
      </c>
      <c r="E18" s="72">
        <f aca="true" t="shared" si="4" ref="E18:E51">I18+M18+Q18</f>
        <v>829.752</v>
      </c>
      <c r="F18" s="72">
        <f t="shared" si="3"/>
        <v>1374.8670000000002</v>
      </c>
      <c r="G18" s="72">
        <f aca="true" t="shared" si="5" ref="G18:G45">K18+O18+S18</f>
        <v>0</v>
      </c>
      <c r="H18" s="75">
        <v>532.879</v>
      </c>
      <c r="I18" s="72">
        <v>564.231</v>
      </c>
      <c r="J18" s="75">
        <v>771.85</v>
      </c>
      <c r="K18" s="75"/>
      <c r="L18" s="72">
        <v>211.584</v>
      </c>
      <c r="M18" s="72">
        <v>224.033</v>
      </c>
      <c r="N18" s="72">
        <v>498.252</v>
      </c>
      <c r="O18" s="72"/>
      <c r="P18" s="72">
        <v>39.182</v>
      </c>
      <c r="Q18" s="72">
        <v>41.488</v>
      </c>
      <c r="R18" s="72">
        <v>104.765</v>
      </c>
      <c r="S18" s="72"/>
      <c r="T18" s="76">
        <f t="shared" si="1"/>
        <v>0</v>
      </c>
    </row>
    <row r="19" spans="1:20" ht="30.75" customHeight="1">
      <c r="A19" s="35" t="s">
        <v>59</v>
      </c>
      <c r="B19" s="37" t="s">
        <v>60</v>
      </c>
      <c r="C19" s="37" t="s">
        <v>53</v>
      </c>
      <c r="D19" s="72">
        <f aca="true" t="shared" si="6" ref="D19:D51">H19+L19+P19</f>
        <v>0</v>
      </c>
      <c r="E19" s="72">
        <f t="shared" si="4"/>
        <v>0</v>
      </c>
      <c r="F19" s="72">
        <f t="shared" si="3"/>
        <v>0</v>
      </c>
      <c r="G19" s="72">
        <f t="shared" si="5"/>
        <v>0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6">
        <f t="shared" si="1"/>
        <v>0</v>
      </c>
    </row>
    <row r="20" spans="1:20" ht="25.5">
      <c r="A20" s="35" t="s">
        <v>61</v>
      </c>
      <c r="B20" s="37" t="s">
        <v>62</v>
      </c>
      <c r="C20" s="37" t="s">
        <v>53</v>
      </c>
      <c r="D20" s="72">
        <f t="shared" si="6"/>
        <v>53.578</v>
      </c>
      <c r="E20" s="72">
        <f t="shared" si="4"/>
        <v>40.071</v>
      </c>
      <c r="F20" s="72">
        <f t="shared" si="3"/>
        <v>210.785</v>
      </c>
      <c r="G20" s="72">
        <f t="shared" si="5"/>
        <v>0</v>
      </c>
      <c r="H20" s="74">
        <v>36.433</v>
      </c>
      <c r="I20" s="72">
        <v>27.248</v>
      </c>
      <c r="J20" s="75">
        <v>118.335</v>
      </c>
      <c r="K20" s="75"/>
      <c r="L20" s="72">
        <v>14.466</v>
      </c>
      <c r="M20" s="72">
        <v>10.819</v>
      </c>
      <c r="N20" s="72">
        <v>76.389</v>
      </c>
      <c r="O20" s="72"/>
      <c r="P20" s="72">
        <v>2.679</v>
      </c>
      <c r="Q20" s="72">
        <v>2.004</v>
      </c>
      <c r="R20" s="72">
        <v>16.061</v>
      </c>
      <c r="S20" s="72"/>
      <c r="T20" s="76">
        <f t="shared" si="1"/>
        <v>0</v>
      </c>
    </row>
    <row r="21" spans="1:20" ht="25.5">
      <c r="A21" s="35" t="s">
        <v>63</v>
      </c>
      <c r="B21" s="37" t="s">
        <v>64</v>
      </c>
      <c r="C21" s="37" t="s">
        <v>53</v>
      </c>
      <c r="D21" s="72">
        <f t="shared" si="6"/>
        <v>81.156</v>
      </c>
      <c r="E21" s="72">
        <f t="shared" si="4"/>
        <v>94.33300000000001</v>
      </c>
      <c r="F21" s="72">
        <f t="shared" si="3"/>
        <v>156.38</v>
      </c>
      <c r="G21" s="72">
        <f t="shared" si="5"/>
        <v>0</v>
      </c>
      <c r="H21" s="72">
        <v>55.186</v>
      </c>
      <c r="I21" s="72">
        <v>64.146</v>
      </c>
      <c r="J21" s="72">
        <v>87.792</v>
      </c>
      <c r="K21" s="72"/>
      <c r="L21" s="72">
        <v>21.912</v>
      </c>
      <c r="M21" s="72">
        <v>25.469</v>
      </c>
      <c r="N21" s="72">
        <v>56.672</v>
      </c>
      <c r="O21" s="72"/>
      <c r="P21" s="72">
        <v>4.058</v>
      </c>
      <c r="Q21" s="72">
        <v>4.718</v>
      </c>
      <c r="R21" s="72">
        <v>11.916</v>
      </c>
      <c r="S21" s="72"/>
      <c r="T21" s="76">
        <f t="shared" si="1"/>
        <v>0</v>
      </c>
    </row>
    <row r="22" spans="1:20" ht="12.75">
      <c r="A22" s="35" t="s">
        <v>20</v>
      </c>
      <c r="B22" s="37" t="s">
        <v>65</v>
      </c>
      <c r="C22" s="37" t="s">
        <v>53</v>
      </c>
      <c r="D22" s="72">
        <f t="shared" si="6"/>
        <v>3063.6079999999997</v>
      </c>
      <c r="E22" s="72">
        <f t="shared" si="4"/>
        <v>4771.333</v>
      </c>
      <c r="F22" s="72">
        <f t="shared" si="3"/>
        <v>9332.864000000001</v>
      </c>
      <c r="G22" s="72">
        <f t="shared" si="5"/>
        <v>0</v>
      </c>
      <c r="H22" s="72">
        <v>2083.254</v>
      </c>
      <c r="I22" s="72">
        <v>3244.507</v>
      </c>
      <c r="J22" s="72">
        <v>5239.47</v>
      </c>
      <c r="K22" s="72"/>
      <c r="L22" s="72">
        <v>827.174</v>
      </c>
      <c r="M22" s="72">
        <v>1288.26</v>
      </c>
      <c r="N22" s="72">
        <v>3382.23</v>
      </c>
      <c r="O22" s="72"/>
      <c r="P22" s="72">
        <v>153.18</v>
      </c>
      <c r="Q22" s="72">
        <v>238.566</v>
      </c>
      <c r="R22" s="72">
        <v>711.164</v>
      </c>
      <c r="S22" s="72"/>
      <c r="T22" s="76">
        <f t="shared" si="1"/>
        <v>0</v>
      </c>
    </row>
    <row r="23" spans="1:20" ht="12.75">
      <c r="A23" s="35" t="s">
        <v>66</v>
      </c>
      <c r="B23" s="37" t="s">
        <v>67</v>
      </c>
      <c r="C23" s="37" t="s">
        <v>53</v>
      </c>
      <c r="D23" s="72">
        <f aca="true" t="shared" si="7" ref="D23:Q23">D24+D25+D26</f>
        <v>2405.855</v>
      </c>
      <c r="E23" s="72">
        <f t="shared" si="7"/>
        <v>2876.241</v>
      </c>
      <c r="F23" s="72">
        <f t="shared" si="7"/>
        <v>4570.823</v>
      </c>
      <c r="G23" s="72">
        <f t="shared" si="5"/>
        <v>0</v>
      </c>
      <c r="H23" s="72">
        <f t="shared" si="7"/>
        <v>1635.981</v>
      </c>
      <c r="I23" s="72">
        <f t="shared" si="7"/>
        <v>1955.844</v>
      </c>
      <c r="J23" s="72">
        <f>J24+J25+J26</f>
        <v>2566.06</v>
      </c>
      <c r="K23" s="72">
        <f t="shared" si="7"/>
        <v>0</v>
      </c>
      <c r="L23" s="72">
        <f t="shared" si="7"/>
        <v>649.581</v>
      </c>
      <c r="M23" s="72">
        <f t="shared" si="7"/>
        <v>776.585</v>
      </c>
      <c r="N23" s="72">
        <f>N24+N25+N26</f>
        <v>1656.467</v>
      </c>
      <c r="O23" s="72">
        <f t="shared" si="7"/>
        <v>0</v>
      </c>
      <c r="P23" s="72">
        <f t="shared" si="7"/>
        <v>120.29299999999999</v>
      </c>
      <c r="Q23" s="72">
        <f t="shared" si="7"/>
        <v>143.812</v>
      </c>
      <c r="R23" s="72">
        <f>R24+R25+R26</f>
        <v>348.296</v>
      </c>
      <c r="S23" s="72">
        <f>S24+S25+S26</f>
        <v>0</v>
      </c>
      <c r="T23" s="76">
        <f t="shared" si="1"/>
        <v>0</v>
      </c>
    </row>
    <row r="24" spans="1:20" ht="12.75">
      <c r="A24" s="35" t="s">
        <v>68</v>
      </c>
      <c r="B24" s="37" t="s">
        <v>69</v>
      </c>
      <c r="C24" s="37" t="s">
        <v>53</v>
      </c>
      <c r="D24" s="72">
        <f t="shared" si="6"/>
        <v>621.963</v>
      </c>
      <c r="E24" s="72">
        <f t="shared" si="4"/>
        <v>1013.4989999999999</v>
      </c>
      <c r="F24" s="72">
        <f t="shared" si="3"/>
        <v>2053.23</v>
      </c>
      <c r="G24" s="72">
        <f t="shared" si="5"/>
        <v>0</v>
      </c>
      <c r="H24" s="72">
        <v>422.935</v>
      </c>
      <c r="I24" s="72">
        <v>689.179</v>
      </c>
      <c r="J24" s="72">
        <v>1152.683</v>
      </c>
      <c r="K24" s="72"/>
      <c r="L24" s="72">
        <v>167.93</v>
      </c>
      <c r="M24" s="72">
        <v>273.645</v>
      </c>
      <c r="N24" s="72">
        <v>744.091</v>
      </c>
      <c r="O24" s="72"/>
      <c r="P24" s="72">
        <v>31.098</v>
      </c>
      <c r="Q24" s="72">
        <v>50.675</v>
      </c>
      <c r="R24" s="72">
        <v>156.456</v>
      </c>
      <c r="S24" s="72"/>
      <c r="T24" s="76">
        <f t="shared" si="1"/>
        <v>0</v>
      </c>
    </row>
    <row r="25" spans="1:20" ht="12.75">
      <c r="A25" s="35" t="s">
        <v>70</v>
      </c>
      <c r="B25" s="37" t="s">
        <v>71</v>
      </c>
      <c r="C25" s="37" t="s">
        <v>53</v>
      </c>
      <c r="D25" s="72">
        <f t="shared" si="6"/>
        <v>1783.892</v>
      </c>
      <c r="E25" s="72">
        <f t="shared" si="4"/>
        <v>1862.742</v>
      </c>
      <c r="F25" s="72">
        <f t="shared" si="3"/>
        <v>2517.593</v>
      </c>
      <c r="G25" s="72">
        <f t="shared" si="5"/>
        <v>0</v>
      </c>
      <c r="H25" s="72">
        <v>1213.046</v>
      </c>
      <c r="I25" s="72">
        <v>1266.665</v>
      </c>
      <c r="J25" s="72">
        <v>1413.377</v>
      </c>
      <c r="K25" s="72"/>
      <c r="L25" s="72">
        <v>481.651</v>
      </c>
      <c r="M25" s="72">
        <v>502.94</v>
      </c>
      <c r="N25" s="72">
        <v>912.376</v>
      </c>
      <c r="O25" s="72"/>
      <c r="P25" s="72">
        <v>89.195</v>
      </c>
      <c r="Q25" s="72">
        <v>93.137</v>
      </c>
      <c r="R25" s="72">
        <v>191.84</v>
      </c>
      <c r="S25" s="72"/>
      <c r="T25" s="76">
        <f t="shared" si="1"/>
        <v>0</v>
      </c>
    </row>
    <row r="26" spans="1:20" ht="12.75">
      <c r="A26" s="35" t="s">
        <v>72</v>
      </c>
      <c r="B26" s="37" t="s">
        <v>348</v>
      </c>
      <c r="C26" s="37" t="s">
        <v>53</v>
      </c>
      <c r="D26" s="72">
        <f t="shared" si="6"/>
        <v>0</v>
      </c>
      <c r="E26" s="72">
        <f t="shared" si="4"/>
        <v>0</v>
      </c>
      <c r="F26" s="72">
        <f t="shared" si="3"/>
        <v>0</v>
      </c>
      <c r="G26" s="72">
        <f t="shared" si="5"/>
        <v>0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6">
        <f t="shared" si="1"/>
        <v>0</v>
      </c>
    </row>
    <row r="27" spans="1:20" ht="25.5">
      <c r="A27" s="35" t="s">
        <v>74</v>
      </c>
      <c r="B27" s="36" t="s">
        <v>323</v>
      </c>
      <c r="C27" s="37" t="s">
        <v>53</v>
      </c>
      <c r="D27" s="72">
        <f t="shared" si="6"/>
        <v>1356.3000000000002</v>
      </c>
      <c r="E27" s="72">
        <f t="shared" si="4"/>
        <v>2382.4789999999994</v>
      </c>
      <c r="F27" s="72">
        <f t="shared" si="3"/>
        <v>2854.8689999999997</v>
      </c>
      <c r="G27" s="72">
        <f t="shared" si="5"/>
        <v>0</v>
      </c>
      <c r="H27" s="72">
        <f aca="true" t="shared" si="8" ref="H27:S27">H28+H29+H30</f>
        <v>922.2850000000001</v>
      </c>
      <c r="I27" s="72">
        <f t="shared" si="8"/>
        <v>1620.0859999999998</v>
      </c>
      <c r="J27" s="72">
        <f t="shared" si="8"/>
        <v>1602.7240000000002</v>
      </c>
      <c r="K27" s="72">
        <f t="shared" si="8"/>
        <v>0</v>
      </c>
      <c r="L27" s="72">
        <f t="shared" si="8"/>
        <v>366.201</v>
      </c>
      <c r="M27" s="72">
        <f t="shared" si="8"/>
        <v>643.269</v>
      </c>
      <c r="N27" s="72">
        <f t="shared" si="8"/>
        <v>1034.606</v>
      </c>
      <c r="O27" s="72">
        <f t="shared" si="8"/>
        <v>0</v>
      </c>
      <c r="P27" s="72">
        <f t="shared" si="8"/>
        <v>67.81400000000001</v>
      </c>
      <c r="Q27" s="72">
        <f t="shared" si="8"/>
        <v>119.12400000000001</v>
      </c>
      <c r="R27" s="72">
        <f t="shared" si="8"/>
        <v>217.539</v>
      </c>
      <c r="S27" s="72">
        <f t="shared" si="8"/>
        <v>0</v>
      </c>
      <c r="T27" s="76">
        <f t="shared" si="1"/>
        <v>0</v>
      </c>
    </row>
    <row r="28" spans="1:20" ht="12.75">
      <c r="A28" s="35" t="s">
        <v>75</v>
      </c>
      <c r="B28" s="37" t="s">
        <v>76</v>
      </c>
      <c r="C28" s="37" t="s">
        <v>53</v>
      </c>
      <c r="D28" s="72">
        <f t="shared" si="6"/>
        <v>320.60400000000004</v>
      </c>
      <c r="E28" s="72">
        <f t="shared" si="4"/>
        <v>505.42900000000003</v>
      </c>
      <c r="F28" s="72">
        <f t="shared" si="3"/>
        <v>1245.065</v>
      </c>
      <c r="G28" s="72">
        <f t="shared" si="5"/>
        <v>0</v>
      </c>
      <c r="H28" s="72">
        <v>218.011</v>
      </c>
      <c r="I28" s="72">
        <v>343.692</v>
      </c>
      <c r="J28" s="72">
        <v>698.98</v>
      </c>
      <c r="K28" s="72"/>
      <c r="L28" s="72">
        <v>86.563</v>
      </c>
      <c r="M28" s="72">
        <v>136.466</v>
      </c>
      <c r="N28" s="72">
        <v>451.212</v>
      </c>
      <c r="O28" s="72"/>
      <c r="P28" s="72">
        <v>16.03</v>
      </c>
      <c r="Q28" s="72">
        <v>25.271</v>
      </c>
      <c r="R28" s="72">
        <v>94.873</v>
      </c>
      <c r="S28" s="72"/>
      <c r="T28" s="76">
        <f t="shared" si="1"/>
        <v>0</v>
      </c>
    </row>
    <row r="29" spans="1:20" ht="25.5" customHeight="1">
      <c r="A29" s="35" t="s">
        <v>77</v>
      </c>
      <c r="B29" s="37" t="s">
        <v>69</v>
      </c>
      <c r="C29" s="37" t="s">
        <v>53</v>
      </c>
      <c r="D29" s="72">
        <f t="shared" si="6"/>
        <v>70.53099999999999</v>
      </c>
      <c r="E29" s="72">
        <f t="shared" si="4"/>
        <v>111.19399999999999</v>
      </c>
      <c r="F29" s="72">
        <f t="shared" si="3"/>
        <v>273.914</v>
      </c>
      <c r="G29" s="72">
        <f t="shared" si="5"/>
        <v>0</v>
      </c>
      <c r="H29" s="72">
        <v>47.962</v>
      </c>
      <c r="I29" s="72">
        <v>75.612</v>
      </c>
      <c r="J29" s="72">
        <v>153.775</v>
      </c>
      <c r="K29" s="72"/>
      <c r="L29" s="72">
        <v>19.043</v>
      </c>
      <c r="M29" s="72">
        <v>30.022</v>
      </c>
      <c r="N29" s="72">
        <v>99.267</v>
      </c>
      <c r="O29" s="72"/>
      <c r="P29" s="72">
        <v>3.526</v>
      </c>
      <c r="Q29" s="72">
        <v>5.56</v>
      </c>
      <c r="R29" s="72">
        <v>20.872</v>
      </c>
      <c r="S29" s="72"/>
      <c r="T29" s="76">
        <f t="shared" si="1"/>
        <v>0</v>
      </c>
    </row>
    <row r="30" spans="1:20" ht="12.75">
      <c r="A30" s="35" t="s">
        <v>78</v>
      </c>
      <c r="B30" s="37" t="s">
        <v>349</v>
      </c>
      <c r="C30" s="37" t="s">
        <v>53</v>
      </c>
      <c r="D30" s="72">
        <f t="shared" si="6"/>
        <v>965.1650000000001</v>
      </c>
      <c r="E30" s="72">
        <f t="shared" si="4"/>
        <v>1765.8559999999998</v>
      </c>
      <c r="F30" s="72">
        <f t="shared" si="3"/>
        <v>1335.89</v>
      </c>
      <c r="G30" s="72">
        <f t="shared" si="5"/>
        <v>0</v>
      </c>
      <c r="H30" s="72">
        <v>656.312</v>
      </c>
      <c r="I30" s="72">
        <v>1200.782</v>
      </c>
      <c r="J30" s="72">
        <v>749.969</v>
      </c>
      <c r="K30" s="72"/>
      <c r="L30" s="72">
        <v>260.595</v>
      </c>
      <c r="M30" s="72">
        <v>476.781</v>
      </c>
      <c r="N30" s="72">
        <v>484.127</v>
      </c>
      <c r="O30" s="72"/>
      <c r="P30" s="72">
        <v>48.258</v>
      </c>
      <c r="Q30" s="72">
        <v>88.293</v>
      </c>
      <c r="R30" s="72">
        <v>101.794</v>
      </c>
      <c r="S30" s="72"/>
      <c r="T30" s="76">
        <f t="shared" si="1"/>
        <v>0</v>
      </c>
    </row>
    <row r="31" spans="1:20" ht="12.75">
      <c r="A31" s="35">
        <v>2</v>
      </c>
      <c r="B31" s="36" t="s">
        <v>80</v>
      </c>
      <c r="C31" s="37" t="s">
        <v>53</v>
      </c>
      <c r="D31" s="72">
        <f>D32+D33+D34</f>
        <v>1917.6839999999997</v>
      </c>
      <c r="E31" s="72">
        <f aca="true" t="shared" si="9" ref="E31:Q31">E32+E33+E34</f>
        <v>2385.415</v>
      </c>
      <c r="F31" s="72">
        <f t="shared" si="9"/>
        <v>3975.582</v>
      </c>
      <c r="G31" s="72">
        <f t="shared" si="5"/>
        <v>0</v>
      </c>
      <c r="H31" s="72">
        <f t="shared" si="9"/>
        <v>1304.024</v>
      </c>
      <c r="I31" s="72">
        <f t="shared" si="9"/>
        <v>1622.0819999999999</v>
      </c>
      <c r="J31" s="72">
        <f>J32+J33+J34</f>
        <v>2231.8909999999996</v>
      </c>
      <c r="K31" s="72">
        <f t="shared" si="9"/>
        <v>0</v>
      </c>
      <c r="L31" s="72">
        <f t="shared" si="9"/>
        <v>517.776</v>
      </c>
      <c r="M31" s="72">
        <f t="shared" si="9"/>
        <v>644.0620000000001</v>
      </c>
      <c r="N31" s="72">
        <f>N32+N33+N34</f>
        <v>1440.7520000000002</v>
      </c>
      <c r="O31" s="72">
        <f t="shared" si="9"/>
        <v>0</v>
      </c>
      <c r="P31" s="72">
        <f t="shared" si="9"/>
        <v>95.88399999999999</v>
      </c>
      <c r="Q31" s="72">
        <f t="shared" si="9"/>
        <v>119.27099999999999</v>
      </c>
      <c r="R31" s="72">
        <f>R32+R33+R34</f>
        <v>302.939</v>
      </c>
      <c r="S31" s="72">
        <f>S32+S33+S34</f>
        <v>0</v>
      </c>
      <c r="T31" s="76">
        <f t="shared" si="1"/>
        <v>0</v>
      </c>
    </row>
    <row r="32" spans="1:20" ht="12.75">
      <c r="A32" s="35" t="s">
        <v>22</v>
      </c>
      <c r="B32" s="37" t="s">
        <v>76</v>
      </c>
      <c r="C32" s="37" t="s">
        <v>53</v>
      </c>
      <c r="D32" s="72">
        <f t="shared" si="6"/>
        <v>1462.302</v>
      </c>
      <c r="E32" s="72">
        <f t="shared" si="4"/>
        <v>1855.463</v>
      </c>
      <c r="F32" s="72">
        <f t="shared" si="3"/>
        <v>3072.435</v>
      </c>
      <c r="G32" s="72">
        <f t="shared" si="5"/>
        <v>0</v>
      </c>
      <c r="H32" s="72">
        <v>994.365</v>
      </c>
      <c r="I32" s="72">
        <v>1261.715</v>
      </c>
      <c r="J32" s="72">
        <v>1724.865</v>
      </c>
      <c r="K32" s="72"/>
      <c r="L32" s="72">
        <v>394.822</v>
      </c>
      <c r="M32" s="72">
        <v>500.975</v>
      </c>
      <c r="N32" s="72">
        <v>1113.451</v>
      </c>
      <c r="O32" s="72"/>
      <c r="P32" s="72">
        <v>73.115</v>
      </c>
      <c r="Q32" s="72">
        <v>92.773</v>
      </c>
      <c r="R32" s="72">
        <v>234.119</v>
      </c>
      <c r="S32" s="72"/>
      <c r="T32" s="76">
        <f t="shared" si="1"/>
        <v>0</v>
      </c>
    </row>
    <row r="33" spans="1:20" ht="12.75">
      <c r="A33" s="35" t="s">
        <v>24</v>
      </c>
      <c r="B33" s="37" t="s">
        <v>81</v>
      </c>
      <c r="C33" s="37" t="s">
        <v>53</v>
      </c>
      <c r="D33" s="72">
        <f t="shared" si="6"/>
        <v>321.70599999999996</v>
      </c>
      <c r="E33" s="72">
        <f t="shared" si="4"/>
        <v>408.201</v>
      </c>
      <c r="F33" s="72">
        <f t="shared" si="3"/>
        <v>675.934</v>
      </c>
      <c r="G33" s="72">
        <f t="shared" si="5"/>
        <v>0</v>
      </c>
      <c r="H33" s="72">
        <v>218.76</v>
      </c>
      <c r="I33" s="72">
        <v>277.577</v>
      </c>
      <c r="J33" s="72">
        <v>379.469</v>
      </c>
      <c r="K33" s="72"/>
      <c r="L33" s="72">
        <v>86.861</v>
      </c>
      <c r="M33" s="72">
        <v>110.214</v>
      </c>
      <c r="N33" s="72">
        <v>244.959</v>
      </c>
      <c r="O33" s="72"/>
      <c r="P33" s="72">
        <v>16.085</v>
      </c>
      <c r="Q33" s="72">
        <v>20.41</v>
      </c>
      <c r="R33" s="72">
        <v>51.506</v>
      </c>
      <c r="S33" s="72"/>
      <c r="T33" s="76">
        <f t="shared" si="1"/>
        <v>0</v>
      </c>
    </row>
    <row r="34" spans="1:20" ht="12.75">
      <c r="A34" s="35" t="s">
        <v>82</v>
      </c>
      <c r="B34" s="37" t="s">
        <v>349</v>
      </c>
      <c r="C34" s="37" t="s">
        <v>53</v>
      </c>
      <c r="D34" s="72">
        <f t="shared" si="6"/>
        <v>133.67600000000002</v>
      </c>
      <c r="E34" s="72">
        <f t="shared" si="4"/>
        <v>121.751</v>
      </c>
      <c r="F34" s="72">
        <f t="shared" si="3"/>
        <v>227.213</v>
      </c>
      <c r="G34" s="72">
        <f t="shared" si="5"/>
        <v>0</v>
      </c>
      <c r="H34" s="72">
        <v>90.899</v>
      </c>
      <c r="I34" s="72">
        <v>82.79</v>
      </c>
      <c r="J34" s="72">
        <v>127.557</v>
      </c>
      <c r="K34" s="72"/>
      <c r="L34" s="72">
        <v>36.093</v>
      </c>
      <c r="M34" s="72">
        <v>32.873</v>
      </c>
      <c r="N34" s="72">
        <v>82.342</v>
      </c>
      <c r="O34" s="72"/>
      <c r="P34" s="72">
        <v>6.684</v>
      </c>
      <c r="Q34" s="72">
        <v>6.088</v>
      </c>
      <c r="R34" s="72">
        <v>17.314</v>
      </c>
      <c r="S34" s="72"/>
      <c r="T34" s="76">
        <f t="shared" si="1"/>
        <v>0</v>
      </c>
    </row>
    <row r="35" spans="1:20" ht="12.75">
      <c r="A35" s="35" t="s">
        <v>350</v>
      </c>
      <c r="B35" s="36" t="s">
        <v>85</v>
      </c>
      <c r="C35" s="37" t="s">
        <v>53</v>
      </c>
      <c r="D35" s="72">
        <f t="shared" si="6"/>
        <v>0</v>
      </c>
      <c r="E35" s="72">
        <f t="shared" si="4"/>
        <v>0</v>
      </c>
      <c r="F35" s="72">
        <f t="shared" si="3"/>
        <v>0</v>
      </c>
      <c r="G35" s="72">
        <f t="shared" si="5"/>
        <v>0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6">
        <f t="shared" si="1"/>
        <v>0</v>
      </c>
    </row>
    <row r="36" spans="1:20" ht="12.75">
      <c r="A36" s="35" t="s">
        <v>351</v>
      </c>
      <c r="B36" s="36" t="s">
        <v>86</v>
      </c>
      <c r="C36" s="37" t="s">
        <v>53</v>
      </c>
      <c r="D36" s="72">
        <f t="shared" si="6"/>
        <v>0</v>
      </c>
      <c r="E36" s="72">
        <f t="shared" si="4"/>
        <v>0</v>
      </c>
      <c r="F36" s="72">
        <f t="shared" si="3"/>
        <v>0</v>
      </c>
      <c r="G36" s="72">
        <f t="shared" si="5"/>
        <v>0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6">
        <f t="shared" si="1"/>
        <v>0</v>
      </c>
    </row>
    <row r="37" spans="1:20" ht="14.25">
      <c r="A37" s="35" t="s">
        <v>352</v>
      </c>
      <c r="B37" s="37" t="s">
        <v>87</v>
      </c>
      <c r="C37" s="37" t="s">
        <v>53</v>
      </c>
      <c r="D37" s="72">
        <f t="shared" si="6"/>
        <v>40411.865000000005</v>
      </c>
      <c r="E37" s="72">
        <f t="shared" si="4"/>
        <v>52543.703</v>
      </c>
      <c r="F37" s="72">
        <f t="shared" si="3"/>
        <v>73140.87199999999</v>
      </c>
      <c r="G37" s="72">
        <f t="shared" si="5"/>
        <v>0</v>
      </c>
      <c r="H37" s="72">
        <f>H15+H31+H35+H36</f>
        <v>26326.563000000006</v>
      </c>
      <c r="I37" s="72">
        <f>I15+I31+I35+I36</f>
        <v>33387.844000000005</v>
      </c>
      <c r="J37" s="72">
        <f>J15+J31+J35+J36</f>
        <v>41536.431</v>
      </c>
      <c r="K37" s="72">
        <f aca="true" t="shared" si="10" ref="K37:S37">K15+K31+K35+K36</f>
        <v>0</v>
      </c>
      <c r="L37" s="72">
        <f t="shared" si="10"/>
        <v>11778.489</v>
      </c>
      <c r="M37" s="72">
        <f t="shared" si="10"/>
        <v>15912.266999999998</v>
      </c>
      <c r="N37" s="72">
        <f>N15+N31+N35+N36</f>
        <v>26088.086</v>
      </c>
      <c r="O37" s="72">
        <f t="shared" si="10"/>
        <v>0</v>
      </c>
      <c r="P37" s="72">
        <f t="shared" si="10"/>
        <v>2306.813</v>
      </c>
      <c r="Q37" s="72">
        <f t="shared" si="10"/>
        <v>3243.591999999999</v>
      </c>
      <c r="R37" s="72">
        <f>R15+R31+R35+R36</f>
        <v>5516.3550000000005</v>
      </c>
      <c r="S37" s="72">
        <f t="shared" si="10"/>
        <v>0</v>
      </c>
      <c r="T37" s="76">
        <f t="shared" si="1"/>
        <v>0</v>
      </c>
    </row>
    <row r="38" spans="1:20" ht="12.75">
      <c r="A38" s="35" t="s">
        <v>354</v>
      </c>
      <c r="B38" s="37" t="s">
        <v>353</v>
      </c>
      <c r="C38" s="37" t="s">
        <v>53</v>
      </c>
      <c r="D38" s="72">
        <f t="shared" si="6"/>
        <v>0</v>
      </c>
      <c r="E38" s="72">
        <f t="shared" si="4"/>
        <v>0</v>
      </c>
      <c r="F38" s="72"/>
      <c r="G38" s="72">
        <f t="shared" si="5"/>
        <v>0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6"/>
    </row>
    <row r="39" spans="1:20" ht="25.5">
      <c r="A39" s="35">
        <v>7</v>
      </c>
      <c r="B39" s="37" t="s">
        <v>88</v>
      </c>
      <c r="C39" s="37" t="s">
        <v>53</v>
      </c>
      <c r="D39" s="72">
        <f t="shared" si="6"/>
        <v>0</v>
      </c>
      <c r="E39" s="72">
        <f t="shared" si="4"/>
        <v>0</v>
      </c>
      <c r="F39" s="72">
        <f t="shared" si="3"/>
        <v>2194.2261599999997</v>
      </c>
      <c r="G39" s="72">
        <f t="shared" si="5"/>
        <v>0</v>
      </c>
      <c r="H39" s="72">
        <v>0</v>
      </c>
      <c r="I39" s="72">
        <v>0</v>
      </c>
      <c r="J39" s="72">
        <f>J37*3%</f>
        <v>1246.0929299999998</v>
      </c>
      <c r="K39" s="72">
        <f>K37*3%</f>
        <v>0</v>
      </c>
      <c r="L39" s="72">
        <v>0</v>
      </c>
      <c r="M39" s="72">
        <v>0</v>
      </c>
      <c r="N39" s="72">
        <f>N37*3%</f>
        <v>782.64258</v>
      </c>
      <c r="O39" s="72">
        <f>O37*3%</f>
        <v>0</v>
      </c>
      <c r="P39" s="72">
        <v>0</v>
      </c>
      <c r="Q39" s="72">
        <v>0</v>
      </c>
      <c r="R39" s="72">
        <f>R37*3%</f>
        <v>165.49065000000002</v>
      </c>
      <c r="S39" s="72">
        <f>S37*3%</f>
        <v>0</v>
      </c>
      <c r="T39" s="76"/>
    </row>
    <row r="40" spans="1:20" ht="12.75">
      <c r="A40" s="35" t="s">
        <v>89</v>
      </c>
      <c r="B40" s="37" t="s">
        <v>90</v>
      </c>
      <c r="C40" s="37" t="s">
        <v>53</v>
      </c>
      <c r="D40" s="72">
        <f t="shared" si="6"/>
        <v>0</v>
      </c>
      <c r="E40" s="72">
        <f t="shared" si="4"/>
        <v>0</v>
      </c>
      <c r="F40" s="72">
        <f t="shared" si="3"/>
        <v>394.9607087999999</v>
      </c>
      <c r="G40" s="72">
        <f t="shared" si="5"/>
        <v>0</v>
      </c>
      <c r="H40" s="72"/>
      <c r="I40" s="72"/>
      <c r="J40" s="72">
        <f>J39*18%</f>
        <v>224.29672739999995</v>
      </c>
      <c r="K40" s="72">
        <f>K39*18%</f>
        <v>0</v>
      </c>
      <c r="L40" s="72"/>
      <c r="M40" s="72"/>
      <c r="N40" s="72">
        <f>N39*18%</f>
        <v>140.87566439999998</v>
      </c>
      <c r="O40" s="72">
        <f>O39*18%</f>
        <v>0</v>
      </c>
      <c r="P40" s="72"/>
      <c r="Q40" s="72"/>
      <c r="R40" s="72">
        <f>R39*18%</f>
        <v>29.788317000000003</v>
      </c>
      <c r="S40" s="72">
        <f>S39*18%</f>
        <v>0</v>
      </c>
      <c r="T40" s="78"/>
    </row>
    <row r="41" spans="1:20" ht="12.75">
      <c r="A41" s="35" t="s">
        <v>91</v>
      </c>
      <c r="B41" s="37" t="s">
        <v>92</v>
      </c>
      <c r="C41" s="37" t="s">
        <v>53</v>
      </c>
      <c r="D41" s="72">
        <f t="shared" si="6"/>
        <v>0</v>
      </c>
      <c r="E41" s="72">
        <f t="shared" si="4"/>
        <v>0</v>
      </c>
      <c r="F41" s="72">
        <f t="shared" si="3"/>
        <v>0</v>
      </c>
      <c r="G41" s="72">
        <f t="shared" si="5"/>
        <v>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8"/>
    </row>
    <row r="42" spans="1:20" ht="12.75">
      <c r="A42" s="35" t="s">
        <v>93</v>
      </c>
      <c r="B42" s="37" t="s">
        <v>94</v>
      </c>
      <c r="C42" s="37" t="s">
        <v>53</v>
      </c>
      <c r="D42" s="72">
        <f t="shared" si="6"/>
        <v>0</v>
      </c>
      <c r="E42" s="72">
        <f t="shared" si="4"/>
        <v>0</v>
      </c>
      <c r="F42" s="72">
        <f t="shared" si="3"/>
        <v>0</v>
      </c>
      <c r="G42" s="72">
        <f t="shared" si="5"/>
        <v>0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8"/>
    </row>
    <row r="43" spans="1:20" ht="25.5">
      <c r="A43" s="35" t="s">
        <v>95</v>
      </c>
      <c r="B43" s="37" t="s">
        <v>96</v>
      </c>
      <c r="C43" s="37" t="s">
        <v>53</v>
      </c>
      <c r="D43" s="72">
        <f t="shared" si="6"/>
        <v>0</v>
      </c>
      <c r="E43" s="72">
        <f t="shared" si="4"/>
        <v>0</v>
      </c>
      <c r="F43" s="72">
        <f t="shared" si="3"/>
        <v>1799.2654511999997</v>
      </c>
      <c r="G43" s="72">
        <f t="shared" si="5"/>
        <v>0</v>
      </c>
      <c r="H43" s="72"/>
      <c r="I43" s="72"/>
      <c r="J43" s="72">
        <f>J39-J40</f>
        <v>1021.7962025999998</v>
      </c>
      <c r="K43" s="72">
        <f>K39-K40</f>
        <v>0</v>
      </c>
      <c r="L43" s="72"/>
      <c r="M43" s="72"/>
      <c r="N43" s="72">
        <f>N39-N40</f>
        <v>641.7669156</v>
      </c>
      <c r="O43" s="72">
        <f>O39-O40</f>
        <v>0</v>
      </c>
      <c r="P43" s="72"/>
      <c r="Q43" s="72"/>
      <c r="R43" s="72">
        <f>R39-R40</f>
        <v>135.702333</v>
      </c>
      <c r="S43" s="72">
        <f>S39-S40</f>
        <v>0</v>
      </c>
      <c r="T43" s="76">
        <f>K37+O37+S37</f>
        <v>0</v>
      </c>
    </row>
    <row r="44" spans="1:20" ht="12.75">
      <c r="A44" s="35" t="s">
        <v>97</v>
      </c>
      <c r="B44" s="37" t="s">
        <v>98</v>
      </c>
      <c r="C44" s="37" t="s">
        <v>53</v>
      </c>
      <c r="D44" s="72">
        <f t="shared" si="6"/>
        <v>0</v>
      </c>
      <c r="E44" s="72">
        <f t="shared" si="4"/>
        <v>0</v>
      </c>
      <c r="F44" s="72">
        <f t="shared" si="3"/>
        <v>0</v>
      </c>
      <c r="G44" s="72">
        <f t="shared" si="5"/>
        <v>0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8"/>
    </row>
    <row r="45" spans="1:20" ht="40.5" customHeight="1">
      <c r="A45" s="35">
        <v>8</v>
      </c>
      <c r="B45" s="37" t="s">
        <v>99</v>
      </c>
      <c r="C45" s="37" t="s">
        <v>53</v>
      </c>
      <c r="D45" s="72">
        <f t="shared" si="6"/>
        <v>40411.865000000005</v>
      </c>
      <c r="E45" s="72">
        <f t="shared" si="4"/>
        <v>52543.703</v>
      </c>
      <c r="F45" s="72">
        <f t="shared" si="3"/>
        <v>75335.09816</v>
      </c>
      <c r="G45" s="72">
        <f t="shared" si="5"/>
        <v>0</v>
      </c>
      <c r="H45" s="72">
        <f>H37+H39</f>
        <v>26326.563000000006</v>
      </c>
      <c r="I45" s="72">
        <f aca="true" t="shared" si="11" ref="I45:S45">I37+I39</f>
        <v>33387.844000000005</v>
      </c>
      <c r="J45" s="72">
        <f>J37+J39</f>
        <v>42782.523929999996</v>
      </c>
      <c r="K45" s="72">
        <f t="shared" si="11"/>
        <v>0</v>
      </c>
      <c r="L45" s="72">
        <f t="shared" si="11"/>
        <v>11778.489</v>
      </c>
      <c r="M45" s="72">
        <f t="shared" si="11"/>
        <v>15912.266999999998</v>
      </c>
      <c r="N45" s="72">
        <f>N37+N39</f>
        <v>26870.72858</v>
      </c>
      <c r="O45" s="72">
        <f t="shared" si="11"/>
        <v>0</v>
      </c>
      <c r="P45" s="72">
        <f t="shared" si="11"/>
        <v>2306.813</v>
      </c>
      <c r="Q45" s="72">
        <f t="shared" si="11"/>
        <v>3243.591999999999</v>
      </c>
      <c r="R45" s="72">
        <f>R37+R39</f>
        <v>5681.84565</v>
      </c>
      <c r="S45" s="72">
        <f t="shared" si="11"/>
        <v>0</v>
      </c>
      <c r="T45" s="78"/>
    </row>
    <row r="46" spans="1:20" ht="24" customHeight="1">
      <c r="A46" s="35">
        <v>9</v>
      </c>
      <c r="B46" s="37" t="s">
        <v>100</v>
      </c>
      <c r="C46" s="37" t="s">
        <v>101</v>
      </c>
      <c r="D46" s="72">
        <f>D45/D47*1000</f>
        <v>1216.3014128490279</v>
      </c>
      <c r="E46" s="72">
        <f>E45/E47*1000</f>
        <v>1356.6776381808797</v>
      </c>
      <c r="F46" s="72">
        <f>F45/F47*1000</f>
        <v>1634.6576337891265</v>
      </c>
      <c r="G46" s="72">
        <f aca="true" t="shared" si="12" ref="G46:S46">G45/G47*1000</f>
        <v>0</v>
      </c>
      <c r="H46" s="72">
        <f t="shared" si="12"/>
        <v>1145.6951835353468</v>
      </c>
      <c r="I46" s="72">
        <f t="shared" si="12"/>
        <v>1270.3725129492002</v>
      </c>
      <c r="J46" s="72">
        <f>J45/J47*1000</f>
        <v>1653.8068259613642</v>
      </c>
      <c r="K46" s="72">
        <f t="shared" si="12"/>
        <v>0</v>
      </c>
      <c r="L46" s="72">
        <f t="shared" si="12"/>
        <v>1332.8185066919355</v>
      </c>
      <c r="M46" s="72">
        <f t="shared" si="12"/>
        <v>1534.775508125435</v>
      </c>
      <c r="N46" s="72">
        <v>1608.93</v>
      </c>
      <c r="O46" s="72"/>
      <c r="P46" s="72">
        <f t="shared" si="12"/>
        <v>1636.9117691930512</v>
      </c>
      <c r="Q46" s="72">
        <f t="shared" si="12"/>
        <v>1559.46196602503</v>
      </c>
      <c r="R46" s="72">
        <f>R45/R47*1000</f>
        <v>1616.0471556143236</v>
      </c>
      <c r="S46" s="72">
        <f t="shared" si="12"/>
        <v>0</v>
      </c>
      <c r="T46" s="78"/>
    </row>
    <row r="47" spans="1:22" ht="25.5">
      <c r="A47" s="35">
        <v>10</v>
      </c>
      <c r="B47" s="37" t="s">
        <v>102</v>
      </c>
      <c r="C47" s="37" t="s">
        <v>18</v>
      </c>
      <c r="D47" s="72">
        <f t="shared" si="6"/>
        <v>33225.206000000006</v>
      </c>
      <c r="E47" s="72">
        <f t="shared" si="4"/>
        <v>38729.689</v>
      </c>
      <c r="F47" s="72">
        <f t="shared" si="3"/>
        <v>46086.163</v>
      </c>
      <c r="G47" s="72">
        <v>44798.178</v>
      </c>
      <c r="H47" s="72">
        <v>22978.68</v>
      </c>
      <c r="I47" s="72">
        <v>26281.932</v>
      </c>
      <c r="J47" s="72">
        <v>25869.118</v>
      </c>
      <c r="K47" s="72">
        <v>25167.385</v>
      </c>
      <c r="L47" s="72">
        <v>8837.279</v>
      </c>
      <c r="M47" s="72">
        <v>10367.814</v>
      </c>
      <c r="N47" s="72">
        <v>16701.154</v>
      </c>
      <c r="O47" s="72">
        <v>16534.449</v>
      </c>
      <c r="P47" s="72">
        <v>1409.247</v>
      </c>
      <c r="Q47" s="72">
        <v>2079.943</v>
      </c>
      <c r="R47" s="72">
        <v>3515.891</v>
      </c>
      <c r="S47" s="72">
        <v>3096.344</v>
      </c>
      <c r="T47" s="78"/>
      <c r="V47" s="28"/>
    </row>
    <row r="48" spans="1:19" ht="12.75">
      <c r="A48" s="35" t="s">
        <v>355</v>
      </c>
      <c r="B48" s="37" t="s">
        <v>104</v>
      </c>
      <c r="C48" s="37" t="s">
        <v>18</v>
      </c>
      <c r="D48" s="72">
        <f t="shared" si="6"/>
        <v>0</v>
      </c>
      <c r="E48" s="72">
        <f t="shared" si="4"/>
        <v>0</v>
      </c>
      <c r="F48" s="72">
        <f t="shared" si="3"/>
        <v>0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2.75">
      <c r="A49" s="35" t="s">
        <v>356</v>
      </c>
      <c r="B49" s="37" t="s">
        <v>105</v>
      </c>
      <c r="C49" s="37" t="s">
        <v>101</v>
      </c>
      <c r="D49" s="72">
        <f t="shared" si="6"/>
        <v>0</v>
      </c>
      <c r="E49" s="72">
        <f t="shared" si="4"/>
        <v>0</v>
      </c>
      <c r="F49" s="72">
        <f t="shared" si="3"/>
        <v>0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38.25">
      <c r="A50" s="35" t="s">
        <v>357</v>
      </c>
      <c r="B50" s="37" t="s">
        <v>106</v>
      </c>
      <c r="C50" s="37" t="s">
        <v>18</v>
      </c>
      <c r="D50" s="72">
        <f t="shared" si="6"/>
        <v>0</v>
      </c>
      <c r="E50" s="72">
        <f t="shared" si="4"/>
        <v>0</v>
      </c>
      <c r="F50" s="72">
        <f t="shared" si="3"/>
        <v>0</v>
      </c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38.25">
      <c r="A51" s="35" t="s">
        <v>358</v>
      </c>
      <c r="B51" s="37" t="s">
        <v>107</v>
      </c>
      <c r="C51" s="37" t="s">
        <v>101</v>
      </c>
      <c r="D51" s="72">
        <f t="shared" si="6"/>
        <v>0</v>
      </c>
      <c r="E51" s="72">
        <f t="shared" si="4"/>
        <v>0</v>
      </c>
      <c r="F51" s="72">
        <f t="shared" si="3"/>
        <v>0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2.75">
      <c r="A52" s="332" t="s">
        <v>359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</row>
    <row r="53" spans="1:19" ht="12.75">
      <c r="A53" s="332" t="s">
        <v>43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</row>
    <row r="54" spans="1:19" ht="12.75">
      <c r="A54" s="332" t="s">
        <v>0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</row>
    <row r="55" spans="1:19" ht="12.75">
      <c r="A55" s="30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</row>
    <row r="56" spans="1:19" ht="12.75" customHeight="1">
      <c r="A56" s="333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</row>
    <row r="57" spans="1:19" ht="12.75">
      <c r="A57" s="332"/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</row>
    <row r="58" spans="1:19" ht="12.75" customHeight="1">
      <c r="A58" s="333"/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</row>
    <row r="59" spans="1:19" ht="12.75">
      <c r="A59" s="333"/>
      <c r="B59" s="333"/>
      <c r="C59" s="333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</row>
    <row r="60" ht="12.75" customHeight="1"/>
    <row r="61" spans="1:19" ht="12.75">
      <c r="A61" s="309"/>
      <c r="B61" s="309"/>
      <c r="C61" s="309"/>
      <c r="D61" s="309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ht="12.75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2"/>
      <c r="Q62" s="312"/>
      <c r="R62" s="312"/>
      <c r="S62" s="312"/>
    </row>
    <row r="63" spans="1:15" ht="15">
      <c r="A63" s="25"/>
      <c r="C63" s="33"/>
      <c r="D63" s="78" t="s">
        <v>317</v>
      </c>
      <c r="E63" s="81" t="s">
        <v>318</v>
      </c>
      <c r="F63" s="78" t="s">
        <v>319</v>
      </c>
      <c r="G63" s="78" t="s">
        <v>320</v>
      </c>
      <c r="H63" s="34"/>
      <c r="I63" s="34"/>
      <c r="J63" s="34"/>
      <c r="K63" s="34"/>
      <c r="L63" s="34"/>
      <c r="M63" s="34"/>
      <c r="N63" s="34"/>
      <c r="O63" s="34"/>
    </row>
    <row r="64" spans="1:15" ht="15">
      <c r="A64" s="78"/>
      <c r="B64" s="78" t="s">
        <v>321</v>
      </c>
      <c r="C64" s="78"/>
      <c r="D64" s="82">
        <v>0.411</v>
      </c>
      <c r="E64" s="82">
        <v>0.271</v>
      </c>
      <c r="F64" s="83">
        <v>0.318</v>
      </c>
      <c r="G64" s="84">
        <v>1</v>
      </c>
      <c r="H64" s="34"/>
      <c r="I64" s="34"/>
      <c r="J64" s="34"/>
      <c r="K64" s="34"/>
      <c r="L64" s="34"/>
      <c r="M64" s="34"/>
      <c r="N64" s="34"/>
      <c r="O64" s="34"/>
    </row>
    <row r="65" spans="1:15" ht="15">
      <c r="A65" s="78"/>
      <c r="B65" s="78" t="s">
        <v>322</v>
      </c>
      <c r="C65" s="78"/>
      <c r="D65" s="82">
        <f>D64</f>
        <v>0.411</v>
      </c>
      <c r="E65" s="82">
        <f>E64</f>
        <v>0.271</v>
      </c>
      <c r="F65" s="82">
        <f>F64</f>
        <v>0.318</v>
      </c>
      <c r="G65" s="84">
        <v>1</v>
      </c>
      <c r="H65" s="34"/>
      <c r="I65" s="34"/>
      <c r="J65" s="34"/>
      <c r="K65" s="34"/>
      <c r="L65" s="34"/>
      <c r="M65" s="34"/>
      <c r="N65" s="34"/>
      <c r="O65" s="34"/>
    </row>
    <row r="66" spans="4:7" ht="12.75">
      <c r="D66" s="78"/>
      <c r="E66" s="78"/>
      <c r="F66" s="78"/>
      <c r="G66" s="78"/>
    </row>
    <row r="67" spans="4:7" ht="12.75">
      <c r="D67" s="85">
        <v>0.57</v>
      </c>
      <c r="E67" s="85">
        <v>0.43</v>
      </c>
      <c r="F67" s="78"/>
      <c r="G67" s="78"/>
    </row>
    <row r="68" spans="4:7" ht="12.75">
      <c r="D68" s="78"/>
      <c r="E68" s="78"/>
      <c r="F68" s="78"/>
      <c r="G68" s="78"/>
    </row>
  </sheetData>
  <sheetProtection/>
  <mergeCells count="38">
    <mergeCell ref="N1:S3"/>
    <mergeCell ref="A4:S4"/>
    <mergeCell ref="A5:S5"/>
    <mergeCell ref="E9:E13"/>
    <mergeCell ref="F9:F13"/>
    <mergeCell ref="D8:G8"/>
    <mergeCell ref="O9:O13"/>
    <mergeCell ref="P9:P13"/>
    <mergeCell ref="H8:K8"/>
    <mergeCell ref="L8:O8"/>
    <mergeCell ref="A6:S6"/>
    <mergeCell ref="A7:S7"/>
    <mergeCell ref="A8:A13"/>
    <mergeCell ref="B8:B13"/>
    <mergeCell ref="C8:C13"/>
    <mergeCell ref="G9:G13"/>
    <mergeCell ref="R9:R13"/>
    <mergeCell ref="P8:S8"/>
    <mergeCell ref="D9:D13"/>
    <mergeCell ref="L9:L13"/>
    <mergeCell ref="S9:S13"/>
    <mergeCell ref="A55:S55"/>
    <mergeCell ref="J9:J13"/>
    <mergeCell ref="K9:K13"/>
    <mergeCell ref="A54:S54"/>
    <mergeCell ref="H9:H13"/>
    <mergeCell ref="M9:M13"/>
    <mergeCell ref="N9:N13"/>
    <mergeCell ref="I9:I13"/>
    <mergeCell ref="Q9:Q13"/>
    <mergeCell ref="A62:S62"/>
    <mergeCell ref="A52:S52"/>
    <mergeCell ref="A59:S59"/>
    <mergeCell ref="A53:S53"/>
    <mergeCell ref="A58:S58"/>
    <mergeCell ref="A57:S57"/>
    <mergeCell ref="A61:S61"/>
    <mergeCell ref="A56:S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K65"/>
  <sheetViews>
    <sheetView zoomScale="120" zoomScaleNormal="120" zoomScaleSheetLayoutView="100" zoomScalePageLayoutView="0" workbookViewId="0" topLeftCell="A10">
      <selection activeCell="G46" sqref="G46:G47"/>
    </sheetView>
  </sheetViews>
  <sheetFormatPr defaultColWidth="9.140625" defaultRowHeight="12.75"/>
  <cols>
    <col min="1" max="1" width="6.421875" style="7" customWidth="1"/>
    <col min="2" max="2" width="44.00390625" style="11" customWidth="1"/>
    <col min="3" max="3" width="9.28125" style="0" bestFit="1" customWidth="1"/>
    <col min="4" max="5" width="12.28125" style="0" bestFit="1" customWidth="1"/>
    <col min="6" max="6" width="11.8515625" style="0" customWidth="1"/>
    <col min="7" max="7" width="12.421875" style="0" customWidth="1"/>
    <col min="8" max="8" width="10.140625" style="0" bestFit="1" customWidth="1"/>
  </cols>
  <sheetData>
    <row r="1" spans="1:9" ht="12.75" customHeight="1">
      <c r="A1" s="48"/>
      <c r="B1" s="49"/>
      <c r="C1" s="50"/>
      <c r="D1" s="191" t="s">
        <v>370</v>
      </c>
      <c r="E1" s="191"/>
      <c r="F1" s="191"/>
      <c r="G1" s="191"/>
      <c r="H1" s="12"/>
      <c r="I1" s="12"/>
    </row>
    <row r="2" spans="1:9" ht="12.75">
      <c r="A2" s="48"/>
      <c r="B2" s="49"/>
      <c r="C2" s="50"/>
      <c r="D2" s="191"/>
      <c r="E2" s="191"/>
      <c r="F2" s="191"/>
      <c r="G2" s="191"/>
      <c r="H2" s="12"/>
      <c r="I2" s="12"/>
    </row>
    <row r="3" spans="1:9" ht="12.75" customHeight="1">
      <c r="A3" s="48"/>
      <c r="B3" s="49"/>
      <c r="C3" s="50"/>
      <c r="D3" s="191"/>
      <c r="E3" s="191"/>
      <c r="F3" s="191"/>
      <c r="G3" s="191"/>
      <c r="H3" s="12"/>
      <c r="I3" s="12"/>
    </row>
    <row r="4" spans="1:7" ht="6.75" customHeight="1">
      <c r="A4" s="48"/>
      <c r="B4" s="49"/>
      <c r="C4" s="50"/>
      <c r="D4" s="191"/>
      <c r="E4" s="191"/>
      <c r="F4" s="191"/>
      <c r="G4" s="191"/>
    </row>
    <row r="5" spans="1:7" ht="3.75" customHeight="1">
      <c r="A5" s="48"/>
      <c r="B5" s="49"/>
      <c r="C5" s="50"/>
      <c r="D5" s="50"/>
      <c r="E5" s="50"/>
      <c r="F5" s="50"/>
      <c r="G5" s="50"/>
    </row>
    <row r="6" spans="1:7" ht="12" customHeight="1">
      <c r="A6" s="158" t="s">
        <v>44</v>
      </c>
      <c r="B6" s="158"/>
      <c r="C6" s="158"/>
      <c r="D6" s="158"/>
      <c r="E6" s="158"/>
      <c r="F6" s="158"/>
      <c r="G6" s="158"/>
    </row>
    <row r="7" spans="1:7" ht="12.75" customHeight="1">
      <c r="A7" s="158" t="s">
        <v>108</v>
      </c>
      <c r="B7" s="158"/>
      <c r="C7" s="158"/>
      <c r="D7" s="158"/>
      <c r="E7" s="158"/>
      <c r="F7" s="158"/>
      <c r="G7" s="158"/>
    </row>
    <row r="8" spans="1:7" ht="12.75">
      <c r="A8" s="159" t="s">
        <v>341</v>
      </c>
      <c r="B8" s="159"/>
      <c r="C8" s="159"/>
      <c r="D8" s="159"/>
      <c r="E8" s="159"/>
      <c r="F8" s="159"/>
      <c r="G8" s="159"/>
    </row>
    <row r="9" spans="1:9" ht="12.75" customHeight="1" thickBot="1">
      <c r="A9" s="292" t="s">
        <v>46</v>
      </c>
      <c r="B9" s="292"/>
      <c r="C9" s="292"/>
      <c r="D9" s="292"/>
      <c r="E9" s="292"/>
      <c r="F9" s="292"/>
      <c r="G9" s="292"/>
      <c r="I9" s="8"/>
    </row>
    <row r="10" spans="1:7" ht="13.5" customHeight="1" thickBot="1">
      <c r="A10" s="293" t="s">
        <v>1</v>
      </c>
      <c r="B10" s="222" t="s">
        <v>2</v>
      </c>
      <c r="C10" s="302" t="s">
        <v>47</v>
      </c>
      <c r="D10" s="334" t="s">
        <v>109</v>
      </c>
      <c r="E10" s="335"/>
      <c r="F10" s="335"/>
      <c r="G10" s="336"/>
    </row>
    <row r="11" spans="1:7" ht="37.5" customHeight="1">
      <c r="A11" s="294"/>
      <c r="B11" s="223"/>
      <c r="C11" s="290"/>
      <c r="D11" s="302" t="s">
        <v>360</v>
      </c>
      <c r="E11" s="51" t="s">
        <v>110</v>
      </c>
      <c r="F11" s="302" t="s">
        <v>383</v>
      </c>
      <c r="G11" s="302" t="s">
        <v>384</v>
      </c>
    </row>
    <row r="12" spans="1:7" ht="12.75">
      <c r="A12" s="294"/>
      <c r="B12" s="223"/>
      <c r="C12" s="290"/>
      <c r="D12" s="290"/>
      <c r="E12" s="51" t="s">
        <v>111</v>
      </c>
      <c r="F12" s="290"/>
      <c r="G12" s="290"/>
    </row>
    <row r="13" spans="1:7" ht="24.75" customHeight="1" thickBot="1">
      <c r="A13" s="255"/>
      <c r="B13" s="190"/>
      <c r="C13" s="291"/>
      <c r="D13" s="291"/>
      <c r="E13" s="45" t="s">
        <v>361</v>
      </c>
      <c r="F13" s="291"/>
      <c r="G13" s="291"/>
    </row>
    <row r="14" spans="1:7" ht="13.5" thickBot="1">
      <c r="A14" s="46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</row>
    <row r="15" spans="1:7" ht="13.5" thickBot="1">
      <c r="A15" s="46">
        <v>1</v>
      </c>
      <c r="B15" s="52" t="s">
        <v>112</v>
      </c>
      <c r="C15" s="45" t="s">
        <v>53</v>
      </c>
      <c r="D15" s="73">
        <v>3217.213</v>
      </c>
      <c r="E15" s="73">
        <v>3905.482</v>
      </c>
      <c r="F15" s="73">
        <v>7036.568</v>
      </c>
      <c r="G15" s="73"/>
    </row>
    <row r="16" spans="1:7" ht="13.5" thickBot="1">
      <c r="A16" s="46" t="s">
        <v>19</v>
      </c>
      <c r="B16" s="52" t="s">
        <v>113</v>
      </c>
      <c r="C16" s="45" t="s">
        <v>53</v>
      </c>
      <c r="D16" s="73"/>
      <c r="E16" s="73"/>
      <c r="F16" s="73"/>
      <c r="G16" s="73"/>
    </row>
    <row r="17" spans="1:7" ht="13.5" thickBot="1">
      <c r="A17" s="46" t="s">
        <v>55</v>
      </c>
      <c r="B17" s="52" t="s">
        <v>58</v>
      </c>
      <c r="C17" s="45" t="s">
        <v>53</v>
      </c>
      <c r="D17" s="73">
        <v>1127.685</v>
      </c>
      <c r="E17" s="73">
        <v>1194.032</v>
      </c>
      <c r="F17" s="73">
        <v>1631.641</v>
      </c>
      <c r="G17" s="73"/>
    </row>
    <row r="18" spans="1:7" ht="26.25" thickBot="1">
      <c r="A18" s="46" t="s">
        <v>57</v>
      </c>
      <c r="B18" s="52" t="s">
        <v>114</v>
      </c>
      <c r="C18" s="45" t="s">
        <v>53</v>
      </c>
      <c r="D18" s="73"/>
      <c r="E18" s="73"/>
      <c r="F18" s="73"/>
      <c r="G18" s="73"/>
    </row>
    <row r="19" spans="1:7" ht="26.25" thickBot="1">
      <c r="A19" s="46" t="s">
        <v>59</v>
      </c>
      <c r="B19" s="52" t="s">
        <v>115</v>
      </c>
      <c r="C19" s="45" t="s">
        <v>53</v>
      </c>
      <c r="D19" s="73"/>
      <c r="E19" s="73"/>
      <c r="F19" s="73"/>
      <c r="G19" s="73"/>
    </row>
    <row r="20" spans="1:7" ht="26.25" thickBot="1">
      <c r="A20" s="46" t="s">
        <v>61</v>
      </c>
      <c r="B20" s="52" t="s">
        <v>64</v>
      </c>
      <c r="C20" s="45" t="s">
        <v>53</v>
      </c>
      <c r="D20" s="73"/>
      <c r="E20" s="73"/>
      <c r="F20" s="73"/>
      <c r="G20" s="73"/>
    </row>
    <row r="21" spans="1:7" ht="13.5" thickBot="1">
      <c r="A21" s="46" t="s">
        <v>20</v>
      </c>
      <c r="B21" s="52" t="s">
        <v>116</v>
      </c>
      <c r="C21" s="45" t="s">
        <v>53</v>
      </c>
      <c r="D21" s="73">
        <v>1291.722</v>
      </c>
      <c r="E21" s="73">
        <v>1709.269</v>
      </c>
      <c r="F21" s="73">
        <v>3710.208</v>
      </c>
      <c r="G21" s="73"/>
    </row>
    <row r="22" spans="1:7" ht="13.5" thickBot="1">
      <c r="A22" s="46" t="s">
        <v>66</v>
      </c>
      <c r="B22" s="52" t="s">
        <v>117</v>
      </c>
      <c r="C22" s="45" t="s">
        <v>53</v>
      </c>
      <c r="D22" s="73"/>
      <c r="E22" s="73">
        <v>1002.18</v>
      </c>
      <c r="F22" s="73">
        <v>1694.719</v>
      </c>
      <c r="G22" s="73"/>
    </row>
    <row r="23" spans="1:7" ht="13.5" thickBot="1">
      <c r="A23" s="46" t="s">
        <v>68</v>
      </c>
      <c r="B23" s="52" t="s">
        <v>69</v>
      </c>
      <c r="C23" s="45" t="s">
        <v>53</v>
      </c>
      <c r="D23" s="73">
        <v>284.178</v>
      </c>
      <c r="E23" s="73">
        <v>376.039</v>
      </c>
      <c r="F23" s="73">
        <v>816.246</v>
      </c>
      <c r="G23" s="73"/>
    </row>
    <row r="24" spans="1:7" ht="13.5" thickBot="1">
      <c r="A24" s="46" t="s">
        <v>70</v>
      </c>
      <c r="B24" s="52" t="s">
        <v>71</v>
      </c>
      <c r="C24" s="45" t="s">
        <v>53</v>
      </c>
      <c r="D24" s="73">
        <v>93.889</v>
      </c>
      <c r="E24" s="73">
        <v>98.039</v>
      </c>
      <c r="F24" s="73">
        <v>331.84</v>
      </c>
      <c r="G24" s="73"/>
    </row>
    <row r="25" spans="1:7" ht="13.5" thickBot="1">
      <c r="A25" s="46" t="s">
        <v>72</v>
      </c>
      <c r="B25" s="52" t="s">
        <v>348</v>
      </c>
      <c r="C25" s="45" t="s">
        <v>53</v>
      </c>
      <c r="D25" s="73">
        <v>419.739</v>
      </c>
      <c r="E25" s="73">
        <v>528.102</v>
      </c>
      <c r="F25" s="73">
        <v>546.33</v>
      </c>
      <c r="G25" s="73"/>
    </row>
    <row r="26" spans="1:7" ht="13.5" thickBot="1">
      <c r="A26" s="46" t="s">
        <v>74</v>
      </c>
      <c r="B26" s="52" t="s">
        <v>118</v>
      </c>
      <c r="C26" s="45" t="s">
        <v>53</v>
      </c>
      <c r="D26" s="73"/>
      <c r="E26" s="73"/>
      <c r="F26" s="73"/>
      <c r="G26" s="73"/>
    </row>
    <row r="27" spans="1:7" ht="13.5" thickBot="1">
      <c r="A27" s="46" t="s">
        <v>75</v>
      </c>
      <c r="B27" s="52" t="s">
        <v>76</v>
      </c>
      <c r="C27" s="45" t="s">
        <v>53</v>
      </c>
      <c r="D27" s="73"/>
      <c r="E27" s="73"/>
      <c r="F27" s="73"/>
      <c r="G27" s="73"/>
    </row>
    <row r="28" spans="1:7" ht="13.5" thickBot="1">
      <c r="A28" s="46" t="s">
        <v>77</v>
      </c>
      <c r="B28" s="52" t="s">
        <v>69</v>
      </c>
      <c r="C28" s="45" t="s">
        <v>53</v>
      </c>
      <c r="D28" s="73"/>
      <c r="E28" s="73"/>
      <c r="F28" s="73"/>
      <c r="G28" s="73"/>
    </row>
    <row r="29" spans="1:7" ht="13.5" thickBot="1">
      <c r="A29" s="46" t="s">
        <v>78</v>
      </c>
      <c r="B29" s="52" t="s">
        <v>326</v>
      </c>
      <c r="C29" s="45" t="s">
        <v>53</v>
      </c>
      <c r="D29" s="73"/>
      <c r="E29" s="73"/>
      <c r="F29" s="73"/>
      <c r="G29" s="73"/>
    </row>
    <row r="30" spans="1:7" ht="13.5" thickBot="1">
      <c r="A30" s="46">
        <v>2</v>
      </c>
      <c r="B30" s="52" t="s">
        <v>119</v>
      </c>
      <c r="C30" s="45" t="s">
        <v>53</v>
      </c>
      <c r="D30" s="73"/>
      <c r="E30" s="73"/>
      <c r="F30" s="73"/>
      <c r="G30" s="73"/>
    </row>
    <row r="31" spans="1:7" ht="13.5" thickBot="1">
      <c r="A31" s="46" t="s">
        <v>22</v>
      </c>
      <c r="B31" s="52" t="s">
        <v>76</v>
      </c>
      <c r="C31" s="45" t="s">
        <v>53</v>
      </c>
      <c r="D31" s="73"/>
      <c r="E31" s="73"/>
      <c r="F31" s="73"/>
      <c r="G31" s="73"/>
    </row>
    <row r="32" spans="1:7" ht="13.5" thickBot="1">
      <c r="A32" s="46" t="s">
        <v>24</v>
      </c>
      <c r="B32" s="52" t="s">
        <v>81</v>
      </c>
      <c r="C32" s="45" t="s">
        <v>53</v>
      </c>
      <c r="D32" s="73"/>
      <c r="E32" s="73"/>
      <c r="F32" s="73"/>
      <c r="G32" s="73"/>
    </row>
    <row r="33" spans="1:7" ht="13.5" thickBot="1">
      <c r="A33" s="46" t="s">
        <v>82</v>
      </c>
      <c r="B33" s="52" t="s">
        <v>79</v>
      </c>
      <c r="C33" s="45" t="s">
        <v>53</v>
      </c>
      <c r="D33" s="73"/>
      <c r="E33" s="73"/>
      <c r="F33" s="73"/>
      <c r="G33" s="73"/>
    </row>
    <row r="34" spans="1:7" ht="13.5" thickBot="1">
      <c r="A34" s="46" t="s">
        <v>350</v>
      </c>
      <c r="B34" s="52" t="s">
        <v>120</v>
      </c>
      <c r="C34" s="45" t="s">
        <v>53</v>
      </c>
      <c r="D34" s="73"/>
      <c r="E34" s="73"/>
      <c r="F34" s="73"/>
      <c r="G34" s="73"/>
    </row>
    <row r="35" spans="1:7" ht="13.5" thickBot="1">
      <c r="A35" s="63" t="s">
        <v>351</v>
      </c>
      <c r="B35" s="64" t="s">
        <v>86</v>
      </c>
      <c r="C35" s="45" t="s">
        <v>53</v>
      </c>
      <c r="D35" s="73"/>
      <c r="E35" s="73"/>
      <c r="F35" s="73"/>
      <c r="G35" s="73"/>
    </row>
    <row r="36" spans="1:7" ht="15" thickBot="1">
      <c r="A36" s="105" t="s">
        <v>352</v>
      </c>
      <c r="B36" s="106" t="s">
        <v>121</v>
      </c>
      <c r="C36" s="45" t="s">
        <v>53</v>
      </c>
      <c r="D36" s="73"/>
      <c r="E36" s="73"/>
      <c r="F36" s="73"/>
      <c r="G36" s="73"/>
    </row>
    <row r="37" spans="1:7" ht="13.5" thickBot="1">
      <c r="A37" s="105" t="s">
        <v>354</v>
      </c>
      <c r="B37" s="106" t="s">
        <v>353</v>
      </c>
      <c r="C37" s="45" t="s">
        <v>53</v>
      </c>
      <c r="D37" s="73"/>
      <c r="E37" s="73"/>
      <c r="F37" s="73"/>
      <c r="G37" s="73"/>
    </row>
    <row r="38" spans="1:7" ht="13.5" thickBot="1">
      <c r="A38" s="104" t="s">
        <v>310</v>
      </c>
      <c r="B38" s="52" t="s">
        <v>122</v>
      </c>
      <c r="C38" s="45" t="s">
        <v>53</v>
      </c>
      <c r="D38" s="73"/>
      <c r="E38" s="73"/>
      <c r="F38" s="73">
        <v>211.097</v>
      </c>
      <c r="G38" s="73"/>
    </row>
    <row r="39" spans="1:7" ht="13.5" thickBot="1">
      <c r="A39" s="65" t="s">
        <v>89</v>
      </c>
      <c r="B39" s="52" t="s">
        <v>90</v>
      </c>
      <c r="C39" s="45" t="s">
        <v>53</v>
      </c>
      <c r="D39" s="73"/>
      <c r="E39" s="73"/>
      <c r="F39" s="73">
        <v>37.99</v>
      </c>
      <c r="G39" s="73"/>
    </row>
    <row r="40" spans="1:9" ht="13.5" thickBot="1">
      <c r="A40" s="46" t="s">
        <v>91</v>
      </c>
      <c r="B40" s="52" t="s">
        <v>92</v>
      </c>
      <c r="C40" s="45" t="s">
        <v>53</v>
      </c>
      <c r="D40" s="73"/>
      <c r="E40" s="73"/>
      <c r="F40" s="73"/>
      <c r="G40" s="73"/>
      <c r="H40" s="86" t="e">
        <f>H41+H42</f>
        <v>#DIV/0!</v>
      </c>
      <c r="I40" s="86" t="e">
        <f>I41+I42</f>
        <v>#DIV/0!</v>
      </c>
    </row>
    <row r="41" spans="1:9" ht="13.5" thickBot="1">
      <c r="A41" s="46" t="s">
        <v>93</v>
      </c>
      <c r="B41" s="52" t="s">
        <v>94</v>
      </c>
      <c r="C41" s="45" t="s">
        <v>53</v>
      </c>
      <c r="D41" s="73"/>
      <c r="E41" s="73"/>
      <c r="F41" s="73"/>
      <c r="G41" s="73"/>
      <c r="H41" s="86">
        <f>F39/4</f>
        <v>9.4975</v>
      </c>
      <c r="I41" s="86" t="e">
        <f>I42/4</f>
        <v>#DIV/0!</v>
      </c>
    </row>
    <row r="42" spans="1:9" ht="13.5" thickBot="1">
      <c r="A42" s="46" t="s">
        <v>95</v>
      </c>
      <c r="B42" s="52" t="s">
        <v>96</v>
      </c>
      <c r="C42" s="45" t="s">
        <v>53</v>
      </c>
      <c r="D42" s="73"/>
      <c r="E42" s="73"/>
      <c r="F42" s="73">
        <f>F38-F39</f>
        <v>173.107</v>
      </c>
      <c r="G42" s="73">
        <f>G38-G39</f>
        <v>0</v>
      </c>
      <c r="H42" s="86" t="e">
        <f>G42/G36*E36</f>
        <v>#DIV/0!</v>
      </c>
      <c r="I42" s="86" t="e">
        <f>G42/G36*D36</f>
        <v>#DIV/0!</v>
      </c>
    </row>
    <row r="43" spans="1:7" ht="13.5" thickBot="1">
      <c r="A43" s="46" t="s">
        <v>97</v>
      </c>
      <c r="B43" s="52" t="s">
        <v>98</v>
      </c>
      <c r="C43" s="45" t="s">
        <v>53</v>
      </c>
      <c r="D43" s="73"/>
      <c r="E43" s="73"/>
      <c r="F43" s="73"/>
      <c r="G43" s="73"/>
    </row>
    <row r="44" spans="1:7" ht="26.25" thickBot="1">
      <c r="A44" s="46">
        <v>8</v>
      </c>
      <c r="B44" s="52" t="s">
        <v>123</v>
      </c>
      <c r="C44" s="45" t="s">
        <v>53</v>
      </c>
      <c r="D44" s="73">
        <v>3217.213</v>
      </c>
      <c r="E44" s="73">
        <v>3905.482</v>
      </c>
      <c r="F44" s="73">
        <v>7247.665</v>
      </c>
      <c r="G44" s="73"/>
    </row>
    <row r="45" spans="1:7" ht="26.25" thickBot="1">
      <c r="A45" s="46">
        <v>9</v>
      </c>
      <c r="B45" s="52" t="s">
        <v>124</v>
      </c>
      <c r="C45" s="45" t="s">
        <v>101</v>
      </c>
      <c r="D45" s="73">
        <v>96.83</v>
      </c>
      <c r="E45" s="73">
        <v>100.84</v>
      </c>
      <c r="F45" s="73">
        <v>157.26</v>
      </c>
      <c r="G45" s="73"/>
    </row>
    <row r="46" spans="1:7" ht="26.25" thickBot="1">
      <c r="A46" s="46">
        <v>10</v>
      </c>
      <c r="B46" s="52" t="s">
        <v>125</v>
      </c>
      <c r="C46" s="45" t="s">
        <v>18</v>
      </c>
      <c r="D46" s="73">
        <v>37989.025</v>
      </c>
      <c r="E46" s="73">
        <v>44648.721</v>
      </c>
      <c r="F46" s="73">
        <v>52230.79</v>
      </c>
      <c r="G46" s="112">
        <v>50734.151</v>
      </c>
    </row>
    <row r="47" spans="1:7" ht="13.5" thickBot="1">
      <c r="A47" s="46" t="s">
        <v>148</v>
      </c>
      <c r="B47" s="52" t="s">
        <v>126</v>
      </c>
      <c r="C47" s="45" t="s">
        <v>18</v>
      </c>
      <c r="D47" s="73">
        <v>37989.025</v>
      </c>
      <c r="E47" s="73">
        <v>44648.7</v>
      </c>
      <c r="F47" s="73">
        <v>52230.79</v>
      </c>
      <c r="G47" s="112">
        <v>50734.151</v>
      </c>
    </row>
    <row r="48" spans="1:7" ht="26.25" thickBot="1">
      <c r="A48" s="46" t="s">
        <v>149</v>
      </c>
      <c r="B48" s="52" t="s">
        <v>127</v>
      </c>
      <c r="C48" s="45" t="s">
        <v>18</v>
      </c>
      <c r="D48" s="73"/>
      <c r="E48" s="73"/>
      <c r="F48" s="73"/>
      <c r="G48" s="73"/>
    </row>
    <row r="49" spans="1:7" ht="26.25" thickBot="1">
      <c r="A49" s="46">
        <v>11</v>
      </c>
      <c r="B49" s="52" t="s">
        <v>128</v>
      </c>
      <c r="C49" s="45" t="s">
        <v>18</v>
      </c>
      <c r="D49" s="73">
        <v>3915.475</v>
      </c>
      <c r="E49" s="73">
        <v>4923.561</v>
      </c>
      <c r="F49" s="73">
        <v>6144.626</v>
      </c>
      <c r="G49" s="73">
        <v>5935.973</v>
      </c>
    </row>
    <row r="50" spans="1:7" ht="13.5" thickBot="1">
      <c r="A50" s="46" t="s">
        <v>311</v>
      </c>
      <c r="B50" s="52" t="s">
        <v>126</v>
      </c>
      <c r="C50" s="45" t="s">
        <v>18</v>
      </c>
      <c r="D50" s="73">
        <v>3915.475</v>
      </c>
      <c r="E50" s="73">
        <v>4923.561</v>
      </c>
      <c r="F50" s="73">
        <v>6144.626</v>
      </c>
      <c r="G50" s="73">
        <v>5935.973</v>
      </c>
    </row>
    <row r="51" spans="1:7" ht="13.5" thickBot="1">
      <c r="A51" s="46" t="s">
        <v>312</v>
      </c>
      <c r="B51" s="52" t="s">
        <v>129</v>
      </c>
      <c r="C51" s="45" t="s">
        <v>18</v>
      </c>
      <c r="D51" s="73"/>
      <c r="E51" s="73"/>
      <c r="F51" s="73"/>
      <c r="G51" s="73"/>
    </row>
    <row r="52" spans="1:7" ht="26.25" thickBot="1">
      <c r="A52" s="46">
        <v>12</v>
      </c>
      <c r="B52" s="52" t="s">
        <v>130</v>
      </c>
      <c r="C52" s="45" t="s">
        <v>18</v>
      </c>
      <c r="D52" s="73">
        <v>34073.55</v>
      </c>
      <c r="E52" s="73">
        <v>39725.182</v>
      </c>
      <c r="F52" s="73">
        <v>47605.29</v>
      </c>
      <c r="G52" s="73">
        <f>G55+G53</f>
        <v>45092.741</v>
      </c>
    </row>
    <row r="53" spans="1:11" ht="26.25" thickBot="1">
      <c r="A53" s="46" t="s">
        <v>216</v>
      </c>
      <c r="B53" s="52" t="s">
        <v>131</v>
      </c>
      <c r="C53" s="45" t="s">
        <v>18</v>
      </c>
      <c r="D53" s="73">
        <v>848.337</v>
      </c>
      <c r="E53" s="73">
        <v>995.493</v>
      </c>
      <c r="F53" s="73">
        <v>1519.126</v>
      </c>
      <c r="G53" s="73">
        <v>1481.803</v>
      </c>
      <c r="K53" s="111"/>
    </row>
    <row r="54" spans="1:7" ht="26.25" thickBot="1">
      <c r="A54" s="46" t="s">
        <v>234</v>
      </c>
      <c r="B54" s="52" t="s">
        <v>132</v>
      </c>
      <c r="C54" s="45" t="s">
        <v>18</v>
      </c>
      <c r="D54" s="73"/>
      <c r="E54" s="73"/>
      <c r="F54" s="73"/>
      <c r="G54" s="73"/>
    </row>
    <row r="55" spans="1:8" ht="26.25" thickBot="1">
      <c r="A55" s="46" t="s">
        <v>235</v>
      </c>
      <c r="B55" s="52" t="s">
        <v>133</v>
      </c>
      <c r="C55" s="45" t="s">
        <v>18</v>
      </c>
      <c r="D55" s="73">
        <v>33225.213</v>
      </c>
      <c r="E55" s="73">
        <v>38729.689</v>
      </c>
      <c r="F55" s="73">
        <v>46086.164</v>
      </c>
      <c r="G55" s="73">
        <f>'Річний план общ'!F31</f>
        <v>43610.938</v>
      </c>
      <c r="H55" s="44"/>
    </row>
    <row r="56" spans="1:7" ht="13.5" thickBot="1">
      <c r="A56" s="46" t="s">
        <v>313</v>
      </c>
      <c r="B56" s="52" t="s">
        <v>38</v>
      </c>
      <c r="C56" s="45" t="s">
        <v>18</v>
      </c>
      <c r="D56" s="73">
        <v>22978.687</v>
      </c>
      <c r="E56" s="73">
        <v>26281.932</v>
      </c>
      <c r="F56" s="73">
        <v>25869.118</v>
      </c>
      <c r="G56" s="73">
        <f>'Річний план общ'!F32</f>
        <v>24421.961000000003</v>
      </c>
    </row>
    <row r="57" spans="1:7" ht="13.5" thickBot="1">
      <c r="A57" s="46" t="s">
        <v>314</v>
      </c>
      <c r="B57" s="52" t="s">
        <v>40</v>
      </c>
      <c r="C57" s="45" t="s">
        <v>18</v>
      </c>
      <c r="D57" s="73">
        <v>8837.279</v>
      </c>
      <c r="E57" s="73">
        <v>10367.814</v>
      </c>
      <c r="F57" s="73">
        <v>16701.154</v>
      </c>
      <c r="G57" s="73">
        <f>'Річний план общ'!F34</f>
        <v>16021.326000000001</v>
      </c>
    </row>
    <row r="58" spans="1:7" ht="13.5" thickBot="1">
      <c r="A58" s="46" t="s">
        <v>315</v>
      </c>
      <c r="B58" s="52" t="s">
        <v>42</v>
      </c>
      <c r="C58" s="45" t="s">
        <v>18</v>
      </c>
      <c r="D58" s="73">
        <v>1409.247</v>
      </c>
      <c r="E58" s="73">
        <v>2079.943</v>
      </c>
      <c r="F58" s="73">
        <v>3515.891</v>
      </c>
      <c r="G58" s="73">
        <f>'Річний план общ'!F36</f>
        <v>3167.649</v>
      </c>
    </row>
    <row r="59" spans="1:7" ht="39" thickBot="1">
      <c r="A59" s="46">
        <v>13</v>
      </c>
      <c r="B59" s="52" t="s">
        <v>134</v>
      </c>
      <c r="C59" s="45" t="s">
        <v>18</v>
      </c>
      <c r="D59" s="73"/>
      <c r="E59" s="73"/>
      <c r="F59" s="73"/>
      <c r="G59" s="73"/>
    </row>
    <row r="60" spans="1:7" ht="26.25" thickBot="1">
      <c r="A60" s="46">
        <v>14</v>
      </c>
      <c r="B60" s="52" t="s">
        <v>135</v>
      </c>
      <c r="C60" s="45" t="s">
        <v>101</v>
      </c>
      <c r="D60" s="73"/>
      <c r="E60" s="73"/>
      <c r="F60" s="73"/>
      <c r="G60" s="73"/>
    </row>
    <row r="61" spans="1:7" ht="12.75">
      <c r="A61" s="300"/>
      <c r="B61" s="300"/>
      <c r="C61" s="300"/>
      <c r="D61" s="300"/>
      <c r="E61" s="300"/>
      <c r="F61" s="300"/>
      <c r="G61" s="300"/>
    </row>
    <row r="62" spans="1:7" ht="12.75">
      <c r="A62" s="299"/>
      <c r="B62" s="299"/>
      <c r="C62" s="299"/>
      <c r="D62" s="299"/>
      <c r="E62" s="299"/>
      <c r="F62" s="299"/>
      <c r="G62" s="299"/>
    </row>
    <row r="63" spans="1:7" ht="12.75">
      <c r="A63" s="299"/>
      <c r="B63" s="299"/>
      <c r="C63" s="299"/>
      <c r="D63" s="299"/>
      <c r="E63" s="299"/>
      <c r="F63" s="299"/>
      <c r="G63" s="299"/>
    </row>
    <row r="64" spans="1:7" ht="12.75" customHeight="1">
      <c r="A64" s="301" t="s">
        <v>363</v>
      </c>
      <c r="B64" s="301"/>
      <c r="C64" s="301"/>
      <c r="D64" s="301"/>
      <c r="E64" s="301"/>
      <c r="F64" s="301"/>
      <c r="G64" s="301"/>
    </row>
    <row r="65" spans="1:7" ht="12.75">
      <c r="A65" s="299"/>
      <c r="B65" s="299"/>
      <c r="C65" s="299"/>
      <c r="D65" s="299"/>
      <c r="E65" s="299"/>
      <c r="F65" s="299"/>
      <c r="G65" s="299"/>
    </row>
  </sheetData>
  <sheetProtection/>
  <mergeCells count="17">
    <mergeCell ref="D1:G4"/>
    <mergeCell ref="A6:G6"/>
    <mergeCell ref="A7:G7"/>
    <mergeCell ref="A8:G8"/>
    <mergeCell ref="D11:D13"/>
    <mergeCell ref="F11:F13"/>
    <mergeCell ref="G11:G13"/>
    <mergeCell ref="A9:G9"/>
    <mergeCell ref="A10:A13"/>
    <mergeCell ref="B10:B13"/>
    <mergeCell ref="C10:C13"/>
    <mergeCell ref="D10:G10"/>
    <mergeCell ref="A65:G65"/>
    <mergeCell ref="A61:G61"/>
    <mergeCell ref="A62:G62"/>
    <mergeCell ref="A63:G63"/>
    <mergeCell ref="A64:G6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I51"/>
  <sheetViews>
    <sheetView zoomScalePageLayoutView="0" workbookViewId="0" topLeftCell="A22">
      <selection activeCell="B53" sqref="B53"/>
    </sheetView>
  </sheetViews>
  <sheetFormatPr defaultColWidth="9.140625" defaultRowHeight="12.75"/>
  <cols>
    <col min="1" max="1" width="7.140625" style="7" customWidth="1"/>
    <col min="2" max="2" width="38.7109375" style="8" customWidth="1"/>
    <col min="4" max="7" width="11.57421875" style="0" bestFit="1" customWidth="1"/>
  </cols>
  <sheetData>
    <row r="1" spans="1:7" ht="12.75">
      <c r="A1" s="9"/>
      <c r="B1" s="2"/>
      <c r="C1" s="1"/>
      <c r="D1" s="345" t="s">
        <v>136</v>
      </c>
      <c r="E1" s="345"/>
      <c r="F1" s="345"/>
      <c r="G1" s="345"/>
    </row>
    <row r="2" spans="1:7" ht="12.75">
      <c r="A2" s="10"/>
      <c r="B2" s="4"/>
      <c r="C2" s="3"/>
      <c r="D2" s="345"/>
      <c r="E2" s="345"/>
      <c r="F2" s="345"/>
      <c r="G2" s="345"/>
    </row>
    <row r="3" spans="1:7" ht="12.75" customHeight="1">
      <c r="A3" s="9"/>
      <c r="B3" s="2"/>
      <c r="C3" s="1"/>
      <c r="D3" s="345"/>
      <c r="E3" s="345"/>
      <c r="F3" s="345"/>
      <c r="G3" s="345"/>
    </row>
    <row r="4" spans="1:7" ht="12.75">
      <c r="A4" s="10"/>
      <c r="B4" s="4"/>
      <c r="C4" s="3"/>
      <c r="D4" s="345"/>
      <c r="E4" s="345"/>
      <c r="F4" s="345"/>
      <c r="G4" s="345"/>
    </row>
    <row r="5" spans="1:7" ht="12.75">
      <c r="A5" s="299"/>
      <c r="B5" s="299"/>
      <c r="C5" s="299"/>
      <c r="D5" s="299"/>
      <c r="E5" s="299"/>
      <c r="F5" s="299"/>
      <c r="G5" s="299"/>
    </row>
    <row r="6" spans="1:7" ht="12.75" customHeight="1">
      <c r="A6" s="346" t="s">
        <v>44</v>
      </c>
      <c r="B6" s="346"/>
      <c r="C6" s="346"/>
      <c r="D6" s="346"/>
      <c r="E6" s="346"/>
      <c r="F6" s="346"/>
      <c r="G6" s="346"/>
    </row>
    <row r="7" spans="1:7" ht="12.75" customHeight="1">
      <c r="A7" s="346" t="s">
        <v>137</v>
      </c>
      <c r="B7" s="346"/>
      <c r="C7" s="346"/>
      <c r="D7" s="346"/>
      <c r="E7" s="346"/>
      <c r="F7" s="346"/>
      <c r="G7" s="346"/>
    </row>
    <row r="8" spans="1:7" ht="12.75">
      <c r="A8" s="299" t="s">
        <v>342</v>
      </c>
      <c r="B8" s="299"/>
      <c r="C8" s="299"/>
      <c r="D8" s="299"/>
      <c r="E8" s="299"/>
      <c r="F8" s="299"/>
      <c r="G8" s="299"/>
    </row>
    <row r="9" spans="1:7" ht="12.75" customHeight="1" thickBot="1">
      <c r="A9" s="347" t="s">
        <v>46</v>
      </c>
      <c r="B9" s="347"/>
      <c r="C9" s="347"/>
      <c r="D9" s="347"/>
      <c r="E9" s="347"/>
      <c r="F9" s="347"/>
      <c r="G9" s="347"/>
    </row>
    <row r="10" spans="1:7" ht="13.5" thickBot="1">
      <c r="A10" s="338" t="s">
        <v>1</v>
      </c>
      <c r="B10" s="340" t="s">
        <v>2</v>
      </c>
      <c r="C10" s="340" t="s">
        <v>47</v>
      </c>
      <c r="D10" s="342" t="s">
        <v>109</v>
      </c>
      <c r="E10" s="343"/>
      <c r="F10" s="343"/>
      <c r="G10" s="344"/>
    </row>
    <row r="11" spans="1:7" ht="78" customHeight="1" thickBot="1">
      <c r="A11" s="339"/>
      <c r="B11" s="341"/>
      <c r="C11" s="341"/>
      <c r="D11" s="107" t="s">
        <v>360</v>
      </c>
      <c r="E11" s="107" t="s">
        <v>362</v>
      </c>
      <c r="F11" s="110" t="s">
        <v>385</v>
      </c>
      <c r="G11" s="110" t="s">
        <v>386</v>
      </c>
    </row>
    <row r="12" spans="1:7" ht="13.5" thickBo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3.5" thickBot="1">
      <c r="A13" s="46">
        <v>1</v>
      </c>
      <c r="B13" s="45" t="s">
        <v>138</v>
      </c>
      <c r="C13" s="45" t="s">
        <v>53</v>
      </c>
      <c r="D13" s="73">
        <v>668.603</v>
      </c>
      <c r="E13" s="73">
        <v>812.221</v>
      </c>
      <c r="F13" s="73">
        <f>F14+F15+F16+F20</f>
        <v>801.905</v>
      </c>
      <c r="G13" s="73">
        <f>G14+G15+G16+G20</f>
        <v>0</v>
      </c>
    </row>
    <row r="14" spans="1:7" ht="13.5" thickBot="1">
      <c r="A14" s="87">
        <v>40544</v>
      </c>
      <c r="B14" s="45" t="s">
        <v>139</v>
      </c>
      <c r="C14" s="45" t="s">
        <v>53</v>
      </c>
      <c r="D14" s="73"/>
      <c r="E14" s="73"/>
      <c r="F14" s="73"/>
      <c r="G14" s="73"/>
    </row>
    <row r="15" spans="1:7" ht="13.5" thickBot="1">
      <c r="A15" s="46" t="s">
        <v>20</v>
      </c>
      <c r="B15" s="45" t="s">
        <v>65</v>
      </c>
      <c r="C15" s="45" t="s">
        <v>53</v>
      </c>
      <c r="D15" s="73">
        <v>293.831</v>
      </c>
      <c r="E15" s="73">
        <v>332.423</v>
      </c>
      <c r="F15" s="73">
        <v>604.235</v>
      </c>
      <c r="G15" s="73"/>
    </row>
    <row r="16" spans="1:7" ht="13.5" thickBot="1">
      <c r="A16" s="46" t="s">
        <v>66</v>
      </c>
      <c r="B16" s="45" t="s">
        <v>140</v>
      </c>
      <c r="C16" s="45" t="s">
        <v>53</v>
      </c>
      <c r="D16" s="73">
        <f>D17+D18+D19</f>
        <v>374.77200000000005</v>
      </c>
      <c r="E16" s="73">
        <f>E17+E18+E19</f>
        <v>479.799</v>
      </c>
      <c r="F16" s="73">
        <f>F17+F18+F19</f>
        <v>197.67</v>
      </c>
      <c r="G16" s="73">
        <f>G17+G18+G19</f>
        <v>0</v>
      </c>
    </row>
    <row r="17" spans="1:7" ht="13.5" thickBot="1">
      <c r="A17" s="46" t="s">
        <v>68</v>
      </c>
      <c r="B17" s="45" t="s">
        <v>69</v>
      </c>
      <c r="C17" s="45" t="s">
        <v>53</v>
      </c>
      <c r="D17" s="73">
        <v>64.643</v>
      </c>
      <c r="E17" s="73">
        <v>73.133</v>
      </c>
      <c r="F17" s="73">
        <v>132.932</v>
      </c>
      <c r="G17" s="73"/>
    </row>
    <row r="18" spans="1:7" ht="13.5" thickBot="1">
      <c r="A18" s="46" t="s">
        <v>70</v>
      </c>
      <c r="B18" s="45" t="s">
        <v>71</v>
      </c>
      <c r="C18" s="45" t="s">
        <v>53</v>
      </c>
      <c r="D18" s="73"/>
      <c r="E18" s="73"/>
      <c r="F18" s="73">
        <v>16.995</v>
      </c>
      <c r="G18" s="73"/>
    </row>
    <row r="19" spans="1:8" ht="13.5" thickBot="1">
      <c r="A19" s="46" t="s">
        <v>72</v>
      </c>
      <c r="B19" s="45" t="s">
        <v>73</v>
      </c>
      <c r="C19" s="45" t="s">
        <v>53</v>
      </c>
      <c r="D19" s="73">
        <v>310.129</v>
      </c>
      <c r="E19" s="73">
        <v>406.666</v>
      </c>
      <c r="F19" s="73">
        <v>47.743</v>
      </c>
      <c r="G19" s="73"/>
      <c r="H19" t="s">
        <v>371</v>
      </c>
    </row>
    <row r="20" spans="1:7" ht="13.5" thickBot="1">
      <c r="A20" s="46" t="s">
        <v>74</v>
      </c>
      <c r="B20" s="45" t="s">
        <v>118</v>
      </c>
      <c r="C20" s="45" t="s">
        <v>53</v>
      </c>
      <c r="D20" s="73"/>
      <c r="E20" s="73"/>
      <c r="F20" s="73"/>
      <c r="G20" s="73"/>
    </row>
    <row r="21" spans="1:7" ht="13.5" thickBot="1">
      <c r="A21" s="46" t="s">
        <v>75</v>
      </c>
      <c r="B21" s="45" t="s">
        <v>76</v>
      </c>
      <c r="C21" s="45" t="s">
        <v>53</v>
      </c>
      <c r="D21" s="73"/>
      <c r="E21" s="73"/>
      <c r="F21" s="73"/>
      <c r="G21" s="73"/>
    </row>
    <row r="22" spans="1:7" ht="13.5" thickBot="1">
      <c r="A22" s="46" t="s">
        <v>77</v>
      </c>
      <c r="B22" s="45" t="s">
        <v>69</v>
      </c>
      <c r="C22" s="45" t="s">
        <v>53</v>
      </c>
      <c r="D22" s="73"/>
      <c r="E22" s="73"/>
      <c r="F22" s="73"/>
      <c r="G22" s="73"/>
    </row>
    <row r="23" spans="1:7" ht="13.5" thickBot="1">
      <c r="A23" s="46" t="s">
        <v>78</v>
      </c>
      <c r="B23" s="45" t="s">
        <v>79</v>
      </c>
      <c r="C23" s="45" t="s">
        <v>53</v>
      </c>
      <c r="D23" s="73"/>
      <c r="E23" s="73"/>
      <c r="F23" s="73"/>
      <c r="G23" s="73"/>
    </row>
    <row r="24" spans="1:7" ht="13.5" thickBot="1">
      <c r="A24" s="46">
        <v>2</v>
      </c>
      <c r="B24" s="45" t="s">
        <v>119</v>
      </c>
      <c r="C24" s="45" t="s">
        <v>53</v>
      </c>
      <c r="D24" s="73">
        <v>221.515</v>
      </c>
      <c r="E24" s="73">
        <v>355.824</v>
      </c>
      <c r="F24" s="73">
        <v>494.372</v>
      </c>
      <c r="G24" s="73"/>
    </row>
    <row r="25" spans="1:7" ht="13.5" thickBot="1">
      <c r="A25" s="46" t="s">
        <v>22</v>
      </c>
      <c r="B25" s="45" t="s">
        <v>76</v>
      </c>
      <c r="C25" s="45" t="s">
        <v>53</v>
      </c>
      <c r="D25" s="73">
        <v>181.57</v>
      </c>
      <c r="E25" s="73">
        <v>291.659</v>
      </c>
      <c r="F25" s="73">
        <v>405.223</v>
      </c>
      <c r="G25" s="73"/>
    </row>
    <row r="26" spans="1:7" ht="13.5" thickBot="1">
      <c r="A26" s="46" t="s">
        <v>24</v>
      </c>
      <c r="B26" s="45" t="s">
        <v>81</v>
      </c>
      <c r="C26" s="45" t="s">
        <v>53</v>
      </c>
      <c r="D26" s="73">
        <v>39.945</v>
      </c>
      <c r="E26" s="73">
        <v>64.165</v>
      </c>
      <c r="F26" s="73">
        <v>89.149</v>
      </c>
      <c r="G26" s="73"/>
    </row>
    <row r="27" spans="1:7" ht="13.5" thickBot="1">
      <c r="A27" s="46" t="s">
        <v>82</v>
      </c>
      <c r="B27" s="45" t="s">
        <v>79</v>
      </c>
      <c r="C27" s="45" t="s">
        <v>53</v>
      </c>
      <c r="D27" s="73"/>
      <c r="E27" s="73"/>
      <c r="F27" s="73"/>
      <c r="G27" s="73"/>
    </row>
    <row r="28" spans="1:9" ht="13.5" thickBot="1">
      <c r="A28" s="46" t="s">
        <v>350</v>
      </c>
      <c r="B28" s="45" t="s">
        <v>141</v>
      </c>
      <c r="C28" s="45" t="s">
        <v>53</v>
      </c>
      <c r="D28" s="73"/>
      <c r="E28" s="73"/>
      <c r="F28" s="73"/>
      <c r="G28" s="73"/>
      <c r="H28" s="77"/>
      <c r="I28" s="77"/>
    </row>
    <row r="29" spans="1:9" ht="13.5" thickBot="1">
      <c r="A29" s="46" t="s">
        <v>351</v>
      </c>
      <c r="B29" s="45" t="s">
        <v>86</v>
      </c>
      <c r="C29" s="45" t="s">
        <v>53</v>
      </c>
      <c r="D29" s="73"/>
      <c r="E29" s="73"/>
      <c r="F29" s="73"/>
      <c r="G29" s="73"/>
      <c r="H29" s="77"/>
      <c r="I29" s="77"/>
    </row>
    <row r="30" spans="1:9" ht="13.5" thickBot="1">
      <c r="A30" s="46" t="s">
        <v>352</v>
      </c>
      <c r="B30" s="45" t="s">
        <v>142</v>
      </c>
      <c r="C30" s="45" t="s">
        <v>53</v>
      </c>
      <c r="D30" s="73">
        <v>890.118</v>
      </c>
      <c r="E30" s="73">
        <v>1168.046</v>
      </c>
      <c r="F30" s="73">
        <f>F13+F24</f>
        <v>1296.277</v>
      </c>
      <c r="G30" s="73">
        <f>G13+G24</f>
        <v>0</v>
      </c>
      <c r="H30" s="77"/>
      <c r="I30" s="77"/>
    </row>
    <row r="31" spans="1:9" ht="13.5" thickBot="1">
      <c r="A31" s="46" t="s">
        <v>354</v>
      </c>
      <c r="B31" s="45" t="s">
        <v>353</v>
      </c>
      <c r="C31" s="45" t="s">
        <v>53</v>
      </c>
      <c r="D31" s="73"/>
      <c r="E31" s="73"/>
      <c r="F31" s="73"/>
      <c r="G31" s="73"/>
      <c r="H31" s="77"/>
      <c r="I31" s="77"/>
    </row>
    <row r="32" spans="1:9" ht="26.25" thickBot="1">
      <c r="A32" s="46">
        <v>7</v>
      </c>
      <c r="B32" s="45" t="s">
        <v>143</v>
      </c>
      <c r="C32" s="45" t="s">
        <v>53</v>
      </c>
      <c r="D32" s="73"/>
      <c r="E32" s="88"/>
      <c r="F32" s="89">
        <v>38.89</v>
      </c>
      <c r="G32" s="89"/>
      <c r="H32" s="77" t="e">
        <f>H33+H36</f>
        <v>#DIV/0!</v>
      </c>
      <c r="I32" s="77" t="e">
        <f>I33+I36</f>
        <v>#DIV/0!</v>
      </c>
    </row>
    <row r="33" spans="1:9" ht="13.5" thickBot="1">
      <c r="A33" s="46" t="s">
        <v>89</v>
      </c>
      <c r="B33" s="45" t="s">
        <v>90</v>
      </c>
      <c r="C33" s="45" t="s">
        <v>53</v>
      </c>
      <c r="D33" s="73"/>
      <c r="E33" s="73"/>
      <c r="F33" s="73">
        <v>7</v>
      </c>
      <c r="G33" s="73"/>
      <c r="H33" s="77">
        <f>F33/4</f>
        <v>1.75</v>
      </c>
      <c r="I33" s="77" t="e">
        <f>I36/4</f>
        <v>#DIV/0!</v>
      </c>
    </row>
    <row r="34" spans="1:9" ht="13.5" thickBot="1">
      <c r="A34" s="46" t="s">
        <v>91</v>
      </c>
      <c r="B34" s="45" t="s">
        <v>92</v>
      </c>
      <c r="C34" s="45" t="s">
        <v>53</v>
      </c>
      <c r="D34" s="73"/>
      <c r="E34" s="73"/>
      <c r="F34" s="73"/>
      <c r="G34" s="73"/>
      <c r="H34" s="77"/>
      <c r="I34" s="77"/>
    </row>
    <row r="35" spans="1:9" ht="13.5" thickBot="1">
      <c r="A35" s="46" t="s">
        <v>93</v>
      </c>
      <c r="B35" s="45" t="s">
        <v>94</v>
      </c>
      <c r="C35" s="45" t="s">
        <v>53</v>
      </c>
      <c r="D35" s="73"/>
      <c r="E35" s="73"/>
      <c r="F35" s="73"/>
      <c r="G35" s="73"/>
      <c r="H35" s="77"/>
      <c r="I35" s="77"/>
    </row>
    <row r="36" spans="1:9" ht="26.25" thickBot="1">
      <c r="A36" s="46" t="s">
        <v>95</v>
      </c>
      <c r="B36" s="45" t="s">
        <v>96</v>
      </c>
      <c r="C36" s="45" t="s">
        <v>53</v>
      </c>
      <c r="D36" s="73"/>
      <c r="E36" s="73"/>
      <c r="F36" s="73">
        <f>F32-F33</f>
        <v>31.89</v>
      </c>
      <c r="G36" s="73">
        <f>G32-G33</f>
        <v>0</v>
      </c>
      <c r="H36" s="77" t="e">
        <f>G36/G30*E30</f>
        <v>#DIV/0!</v>
      </c>
      <c r="I36" s="77" t="e">
        <f>G36/G30*D30</f>
        <v>#DIV/0!</v>
      </c>
    </row>
    <row r="37" spans="1:9" ht="13.5" thickBot="1">
      <c r="A37" s="46" t="s">
        <v>97</v>
      </c>
      <c r="B37" s="45" t="s">
        <v>144</v>
      </c>
      <c r="C37" s="45" t="s">
        <v>53</v>
      </c>
      <c r="D37" s="73"/>
      <c r="E37" s="73"/>
      <c r="F37" s="73"/>
      <c r="G37" s="73"/>
      <c r="H37" s="77"/>
      <c r="I37" s="77"/>
    </row>
    <row r="38" spans="1:7" ht="26.25" thickBot="1">
      <c r="A38" s="46">
        <v>8</v>
      </c>
      <c r="B38" s="45" t="s">
        <v>145</v>
      </c>
      <c r="C38" s="45" t="s">
        <v>53</v>
      </c>
      <c r="D38" s="73">
        <v>890.118</v>
      </c>
      <c r="E38" s="73">
        <v>1168.045</v>
      </c>
      <c r="F38" s="73">
        <f>F30+F32</f>
        <v>1335.1670000000001</v>
      </c>
      <c r="G38" s="73">
        <f>G30+G32</f>
        <v>0</v>
      </c>
    </row>
    <row r="39" spans="1:7" ht="26.25" thickBot="1">
      <c r="A39" s="46">
        <v>9</v>
      </c>
      <c r="B39" s="45" t="s">
        <v>146</v>
      </c>
      <c r="C39" s="45" t="s">
        <v>101</v>
      </c>
      <c r="D39" s="73">
        <v>26.79</v>
      </c>
      <c r="E39" s="73">
        <v>30.16</v>
      </c>
      <c r="F39" s="73">
        <v>28.97</v>
      </c>
      <c r="G39" s="73"/>
    </row>
    <row r="40" spans="1:7" ht="39" thickBot="1">
      <c r="A40" s="46">
        <v>10</v>
      </c>
      <c r="B40" s="45" t="s">
        <v>147</v>
      </c>
      <c r="C40" s="45" t="s">
        <v>18</v>
      </c>
      <c r="D40" s="73">
        <v>33225.213</v>
      </c>
      <c r="E40" s="73">
        <v>38729.689</v>
      </c>
      <c r="F40" s="73">
        <v>46086.163</v>
      </c>
      <c r="G40" s="73">
        <f>G41+G42+G43</f>
        <v>44798.178</v>
      </c>
    </row>
    <row r="41" spans="1:7" ht="13.5" thickBot="1">
      <c r="A41" s="46" t="s">
        <v>148</v>
      </c>
      <c r="B41" s="45" t="s">
        <v>38</v>
      </c>
      <c r="C41" s="45" t="s">
        <v>18</v>
      </c>
      <c r="D41" s="73">
        <v>22978.687</v>
      </c>
      <c r="E41" s="73">
        <v>26281.932</v>
      </c>
      <c r="F41" s="73">
        <v>25869.118</v>
      </c>
      <c r="G41" s="73">
        <v>25167.385</v>
      </c>
    </row>
    <row r="42" spans="1:7" ht="13.5" thickBot="1">
      <c r="A42" s="46" t="s">
        <v>149</v>
      </c>
      <c r="B42" s="45" t="s">
        <v>40</v>
      </c>
      <c r="C42" s="45" t="s">
        <v>18</v>
      </c>
      <c r="D42" s="73">
        <v>8837.279</v>
      </c>
      <c r="E42" s="73">
        <v>10367.814</v>
      </c>
      <c r="F42" s="73">
        <v>16701.154</v>
      </c>
      <c r="G42" s="73">
        <v>16534.449</v>
      </c>
    </row>
    <row r="43" spans="1:7" ht="13.5" thickBot="1">
      <c r="A43" s="46" t="s">
        <v>150</v>
      </c>
      <c r="B43" s="45" t="s">
        <v>151</v>
      </c>
      <c r="C43" s="45" t="s">
        <v>18</v>
      </c>
      <c r="D43" s="73">
        <v>1409.247</v>
      </c>
      <c r="E43" s="73">
        <v>2079.943</v>
      </c>
      <c r="F43" s="73">
        <v>3515.891</v>
      </c>
      <c r="G43" s="73">
        <v>3096.344</v>
      </c>
    </row>
    <row r="44" spans="1:7" ht="12.75">
      <c r="A44" s="300"/>
      <c r="B44" s="300"/>
      <c r="C44" s="300"/>
      <c r="D44" s="300"/>
      <c r="E44" s="300"/>
      <c r="F44" s="300"/>
      <c r="G44" s="300"/>
    </row>
    <row r="45" spans="1:7" ht="12.75">
      <c r="A45" s="299"/>
      <c r="B45" s="299"/>
      <c r="C45" s="299"/>
      <c r="D45" s="299"/>
      <c r="E45" s="299"/>
      <c r="F45" s="299"/>
      <c r="G45" s="299"/>
    </row>
    <row r="46" spans="1:7" ht="12.75">
      <c r="A46" s="301"/>
      <c r="B46" s="301"/>
      <c r="C46" s="301"/>
      <c r="D46" s="301"/>
      <c r="E46" s="301"/>
      <c r="F46" s="301"/>
      <c r="G46" s="301"/>
    </row>
    <row r="47" spans="1:7" ht="12.75">
      <c r="A47" s="299"/>
      <c r="B47" s="299"/>
      <c r="C47" s="299"/>
      <c r="D47" s="299"/>
      <c r="E47" s="299"/>
      <c r="F47" s="299"/>
      <c r="G47" s="299"/>
    </row>
    <row r="48" spans="1:7" ht="12.75" customHeight="1">
      <c r="A48" s="301" t="s">
        <v>364</v>
      </c>
      <c r="B48" s="301"/>
      <c r="C48" s="301"/>
      <c r="D48" s="301"/>
      <c r="E48" s="301"/>
      <c r="F48" s="301"/>
      <c r="G48" s="301"/>
    </row>
    <row r="49" spans="1:7" ht="12.75">
      <c r="A49" s="299"/>
      <c r="B49" s="299"/>
      <c r="C49" s="299"/>
      <c r="D49" s="299"/>
      <c r="E49" s="299"/>
      <c r="F49" s="299"/>
      <c r="G49" s="299"/>
    </row>
    <row r="50" spans="1:7" ht="12.75" customHeight="1">
      <c r="A50" s="301" t="s">
        <v>343</v>
      </c>
      <c r="B50" s="301"/>
      <c r="C50" s="301"/>
      <c r="D50" s="301"/>
      <c r="E50" s="301"/>
      <c r="F50" s="301"/>
      <c r="G50" s="301"/>
    </row>
    <row r="51" spans="1:7" ht="12.75">
      <c r="A51" s="337"/>
      <c r="B51" s="337"/>
      <c r="C51" s="337"/>
      <c r="D51" s="337"/>
      <c r="E51" s="337"/>
      <c r="F51" s="337"/>
      <c r="G51" s="337"/>
    </row>
  </sheetData>
  <sheetProtection/>
  <mergeCells count="18">
    <mergeCell ref="A8:G8"/>
    <mergeCell ref="A9:G9"/>
    <mergeCell ref="D1:G4"/>
    <mergeCell ref="A5:G5"/>
    <mergeCell ref="A6:G6"/>
    <mergeCell ref="A7:G7"/>
    <mergeCell ref="A10:A11"/>
    <mergeCell ref="B10:B11"/>
    <mergeCell ref="C10:C11"/>
    <mergeCell ref="D10:G10"/>
    <mergeCell ref="A50:G50"/>
    <mergeCell ref="A51:G51"/>
    <mergeCell ref="A44:G44"/>
    <mergeCell ref="A45:G45"/>
    <mergeCell ref="A46:G46"/>
    <mergeCell ref="A47:G47"/>
    <mergeCell ref="A48:G48"/>
    <mergeCell ref="A49:G4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2:G3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8515625" style="0" customWidth="1"/>
    <col min="2" max="2" width="30.7109375" style="0" customWidth="1"/>
    <col min="4" max="4" width="11.421875" style="0" customWidth="1"/>
    <col min="5" max="5" width="11.28125" style="0" customWidth="1"/>
    <col min="6" max="6" width="13.28125" style="0" customWidth="1"/>
    <col min="7" max="7" width="13.57421875" style="0" customWidth="1"/>
  </cols>
  <sheetData>
    <row r="2" spans="1:7" ht="12.75">
      <c r="A2" s="9"/>
      <c r="B2" s="1"/>
      <c r="C2" s="1"/>
      <c r="D2" s="345" t="s">
        <v>152</v>
      </c>
      <c r="E2" s="345"/>
      <c r="F2" s="345"/>
      <c r="G2" s="345"/>
    </row>
    <row r="3" spans="1:7" ht="12.75">
      <c r="A3" s="10"/>
      <c r="B3" s="3"/>
      <c r="C3" s="3"/>
      <c r="D3" s="345"/>
      <c r="E3" s="345"/>
      <c r="F3" s="345"/>
      <c r="G3" s="345"/>
    </row>
    <row r="4" spans="1:7" ht="12.75">
      <c r="A4" s="9"/>
      <c r="B4" s="1"/>
      <c r="C4" s="1"/>
      <c r="D4" s="345"/>
      <c r="E4" s="345"/>
      <c r="F4" s="345"/>
      <c r="G4" s="345"/>
    </row>
    <row r="5" spans="1:7" ht="12.75">
      <c r="A5" s="10"/>
      <c r="B5" s="3"/>
      <c r="C5" s="3"/>
      <c r="D5" s="345"/>
      <c r="E5" s="345"/>
      <c r="F5" s="345"/>
      <c r="G5" s="345"/>
    </row>
    <row r="6" spans="1:7" ht="12.75">
      <c r="A6" s="299"/>
      <c r="B6" s="299"/>
      <c r="C6" s="299"/>
      <c r="D6" s="299"/>
      <c r="E6" s="299"/>
      <c r="F6" s="299"/>
      <c r="G6" s="299"/>
    </row>
    <row r="7" spans="1:7" ht="12.75">
      <c r="A7" s="346" t="s">
        <v>44</v>
      </c>
      <c r="B7" s="346"/>
      <c r="C7" s="346"/>
      <c r="D7" s="346"/>
      <c r="E7" s="346"/>
      <c r="F7" s="346"/>
      <c r="G7" s="346"/>
    </row>
    <row r="8" spans="1:7" ht="12.75">
      <c r="A8" s="346" t="s">
        <v>153</v>
      </c>
      <c r="B8" s="346"/>
      <c r="C8" s="346"/>
      <c r="D8" s="346"/>
      <c r="E8" s="346"/>
      <c r="F8" s="346"/>
      <c r="G8" s="346"/>
    </row>
    <row r="9" spans="1:7" ht="12.75">
      <c r="A9" s="348" t="s">
        <v>329</v>
      </c>
      <c r="B9" s="348"/>
      <c r="C9" s="348"/>
      <c r="D9" s="348"/>
      <c r="E9" s="348"/>
      <c r="F9" s="348"/>
      <c r="G9" s="348"/>
    </row>
    <row r="10" spans="1:7" ht="13.5" thickBot="1">
      <c r="A10" s="347" t="s">
        <v>46</v>
      </c>
      <c r="B10" s="347"/>
      <c r="C10" s="347"/>
      <c r="D10" s="347"/>
      <c r="E10" s="347"/>
      <c r="F10" s="347"/>
      <c r="G10" s="347"/>
    </row>
    <row r="11" spans="1:7" ht="13.5" thickBot="1">
      <c r="A11" s="338" t="s">
        <v>1</v>
      </c>
      <c r="B11" s="340" t="s">
        <v>154</v>
      </c>
      <c r="C11" s="340" t="s">
        <v>47</v>
      </c>
      <c r="D11" s="340" t="s">
        <v>155</v>
      </c>
      <c r="E11" s="342" t="s">
        <v>156</v>
      </c>
      <c r="F11" s="343"/>
      <c r="G11" s="344"/>
    </row>
    <row r="12" spans="1:7" ht="26.25" thickBot="1">
      <c r="A12" s="339"/>
      <c r="B12" s="341"/>
      <c r="C12" s="341"/>
      <c r="D12" s="341"/>
      <c r="E12" s="14" t="s">
        <v>38</v>
      </c>
      <c r="F12" s="14" t="s">
        <v>40</v>
      </c>
      <c r="G12" s="14" t="s">
        <v>42</v>
      </c>
    </row>
    <row r="13" spans="1:7" ht="13.5" thickBot="1">
      <c r="A13" s="13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</row>
    <row r="14" spans="1:7" ht="34.5" customHeight="1" thickBot="1">
      <c r="A14" s="13">
        <v>1</v>
      </c>
      <c r="B14" s="15" t="s">
        <v>157</v>
      </c>
      <c r="C14" s="14" t="s">
        <v>101</v>
      </c>
      <c r="D14" s="55">
        <f>D15+D16</f>
        <v>1634.6576337891263</v>
      </c>
      <c r="E14" s="55">
        <f>E15+E16</f>
        <v>1653.8068259613644</v>
      </c>
      <c r="F14" s="55">
        <f>F15+F16</f>
        <v>1608.9144845919031</v>
      </c>
      <c r="G14" s="55">
        <f>G15+G16</f>
        <v>1616.0471556143239</v>
      </c>
    </row>
    <row r="15" spans="1:7" ht="31.5" customHeight="1" thickBot="1">
      <c r="A15" s="13" t="s">
        <v>19</v>
      </c>
      <c r="B15" s="15" t="s">
        <v>158</v>
      </c>
      <c r="C15" s="14" t="s">
        <v>101</v>
      </c>
      <c r="D15" s="55">
        <f>'Виробництво 3'!F37/'Виробництво 3'!F47*1000</f>
        <v>1587.04624639721</v>
      </c>
      <c r="E15" s="55">
        <f>'Виробництво 3'!J37/'Виробництво 3'!J47*1000</f>
        <v>1605.6376951081209</v>
      </c>
      <c r="F15" s="55">
        <f>'Виробництво 3'!N37/'Виробництво 3'!N47*1000</f>
        <v>1562.052897662042</v>
      </c>
      <c r="G15" s="55">
        <f>'Виробництво 3'!R37/'Виробництво 3'!R47*1000</f>
        <v>1568.9778209847805</v>
      </c>
    </row>
    <row r="16" spans="1:7" ht="13.5" thickBot="1">
      <c r="A16" s="13" t="s">
        <v>20</v>
      </c>
      <c r="B16" s="15" t="s">
        <v>159</v>
      </c>
      <c r="C16" s="14" t="s">
        <v>101</v>
      </c>
      <c r="D16" s="55">
        <f>'Виробництво 3'!F39/'Виробництво 3'!F47*1000</f>
        <v>47.6113873919163</v>
      </c>
      <c r="E16" s="55">
        <f>'Виробництво 3'!J39/'Виробництво 3'!J47*1000</f>
        <v>48.16913085324362</v>
      </c>
      <c r="F16" s="55">
        <f>'Виробництво 3'!N39/'Виробництво 3'!N47*1000</f>
        <v>46.861586929861254</v>
      </c>
      <c r="G16" s="55">
        <f>'Виробництво 3'!R39/'Виробництво 3'!R47*1000</f>
        <v>47.069334629543405</v>
      </c>
    </row>
    <row r="17" spans="1:7" ht="29.25" customHeight="1" thickBot="1">
      <c r="A17" s="13">
        <v>2</v>
      </c>
      <c r="B17" s="15" t="s">
        <v>160</v>
      </c>
      <c r="C17" s="14" t="s">
        <v>101</v>
      </c>
      <c r="D17" s="57">
        <f>D18+D19</f>
        <v>4.434318118847716</v>
      </c>
      <c r="E17" s="57">
        <f>E18+E19</f>
        <v>4.434318118847716</v>
      </c>
      <c r="F17" s="57">
        <f>F18+F19</f>
        <v>4.434318118847716</v>
      </c>
      <c r="G17" s="57">
        <f>G18+G19</f>
        <v>4.434318118847716</v>
      </c>
    </row>
    <row r="18" spans="1:7" ht="32.25" customHeight="1" thickBot="1">
      <c r="A18" s="13" t="s">
        <v>22</v>
      </c>
      <c r="B18" s="15" t="s">
        <v>161</v>
      </c>
      <c r="C18" s="14" t="s">
        <v>101</v>
      </c>
      <c r="D18" s="57">
        <f>'Транспортування 4'!F36/'Транспортування 4'!F52*1000</f>
        <v>0</v>
      </c>
      <c r="E18" s="57">
        <f>D18</f>
        <v>0</v>
      </c>
      <c r="F18" s="57">
        <f>D18</f>
        <v>0</v>
      </c>
      <c r="G18" s="57">
        <f>D18</f>
        <v>0</v>
      </c>
    </row>
    <row r="19" spans="1:7" ht="13.5" thickBot="1">
      <c r="A19" s="13" t="s">
        <v>24</v>
      </c>
      <c r="B19" s="15" t="s">
        <v>159</v>
      </c>
      <c r="C19" s="14" t="s">
        <v>101</v>
      </c>
      <c r="D19" s="57">
        <f>'Транспортування 4'!F38/'Транспортування 4'!F52*1000</f>
        <v>4.434318118847716</v>
      </c>
      <c r="E19" s="57">
        <f>D19</f>
        <v>4.434318118847716</v>
      </c>
      <c r="F19" s="57">
        <f>D19</f>
        <v>4.434318118847716</v>
      </c>
      <c r="G19" s="57">
        <f>D19</f>
        <v>4.434318118847716</v>
      </c>
    </row>
    <row r="20" spans="1:7" ht="31.5" customHeight="1" thickBot="1">
      <c r="A20" s="13">
        <v>3</v>
      </c>
      <c r="B20" s="15" t="s">
        <v>162</v>
      </c>
      <c r="C20" s="14" t="s">
        <v>101</v>
      </c>
      <c r="D20" s="58">
        <f>D21+D22</f>
        <v>28.97110353925537</v>
      </c>
      <c r="E20" s="58">
        <f>D20</f>
        <v>28.97110353925537</v>
      </c>
      <c r="F20" s="58">
        <f>D20</f>
        <v>28.97110353925537</v>
      </c>
      <c r="G20" s="58">
        <f>D20</f>
        <v>28.97110353925537</v>
      </c>
    </row>
    <row r="21" spans="1:7" ht="27.75" customHeight="1" thickBot="1">
      <c r="A21" s="13" t="s">
        <v>83</v>
      </c>
      <c r="B21" s="15" t="s">
        <v>163</v>
      </c>
      <c r="C21" s="14" t="s">
        <v>101</v>
      </c>
      <c r="D21" s="58">
        <f>'Постачання 5'!F30/'Постачання 5'!F40*1000</f>
        <v>28.12724938719676</v>
      </c>
      <c r="E21" s="58">
        <f>D21</f>
        <v>28.12724938719676</v>
      </c>
      <c r="F21" s="58">
        <f>D21</f>
        <v>28.12724938719676</v>
      </c>
      <c r="G21" s="58">
        <f>D21</f>
        <v>28.12724938719676</v>
      </c>
    </row>
    <row r="22" spans="1:7" ht="13.5" thickBot="1">
      <c r="A22" s="13" t="s">
        <v>84</v>
      </c>
      <c r="B22" s="15" t="s">
        <v>159</v>
      </c>
      <c r="C22" s="14" t="s">
        <v>101</v>
      </c>
      <c r="D22" s="58">
        <f>'Постачання 5'!F32/'Постачання 5'!F40*1000</f>
        <v>0.8438541520586125</v>
      </c>
      <c r="E22" s="58">
        <f>D22</f>
        <v>0.8438541520586125</v>
      </c>
      <c r="F22" s="58">
        <f>D22</f>
        <v>0.8438541520586125</v>
      </c>
      <c r="G22" s="58">
        <f>D22</f>
        <v>0.8438541520586125</v>
      </c>
    </row>
    <row r="23" spans="1:7" ht="21" customHeight="1" thickBot="1">
      <c r="A23" s="13">
        <v>4</v>
      </c>
      <c r="B23" s="15" t="s">
        <v>164</v>
      </c>
      <c r="C23" s="14" t="s">
        <v>101</v>
      </c>
      <c r="D23" s="59">
        <f>D24+D25</f>
        <v>1668.0630554472295</v>
      </c>
      <c r="E23" s="59">
        <f>E24+E25</f>
        <v>1687.2122476194677</v>
      </c>
      <c r="F23" s="59">
        <f>F24+F25</f>
        <v>1642.3199062500064</v>
      </c>
      <c r="G23" s="59">
        <f>G24+G25</f>
        <v>1649.4525772724269</v>
      </c>
    </row>
    <row r="24" spans="1:7" ht="30" customHeight="1" thickBot="1">
      <c r="A24" s="13" t="s">
        <v>26</v>
      </c>
      <c r="B24" s="15" t="s">
        <v>165</v>
      </c>
      <c r="C24" s="14" t="s">
        <v>101</v>
      </c>
      <c r="D24" s="59">
        <f aca="true" t="shared" si="0" ref="D24:G25">D15+D18+D21</f>
        <v>1615.173495784407</v>
      </c>
      <c r="E24" s="59">
        <f t="shared" si="0"/>
        <v>1633.7649444953176</v>
      </c>
      <c r="F24" s="59">
        <f t="shared" si="0"/>
        <v>1590.1801470492387</v>
      </c>
      <c r="G24" s="59">
        <f t="shared" si="0"/>
        <v>1597.1050703719773</v>
      </c>
    </row>
    <row r="25" spans="1:7" ht="12.75" customHeight="1" thickBot="1">
      <c r="A25" s="13" t="s">
        <v>166</v>
      </c>
      <c r="B25" s="15" t="s">
        <v>159</v>
      </c>
      <c r="C25" s="14" t="s">
        <v>101</v>
      </c>
      <c r="D25" s="59">
        <f t="shared" si="0"/>
        <v>52.88955966282263</v>
      </c>
      <c r="E25" s="59">
        <f t="shared" si="0"/>
        <v>53.44730312414995</v>
      </c>
      <c r="F25" s="59">
        <f t="shared" si="0"/>
        <v>52.13975920076758</v>
      </c>
      <c r="G25" s="59">
        <f t="shared" si="0"/>
        <v>52.34750690044973</v>
      </c>
    </row>
    <row r="26" spans="1:7" ht="39.75" customHeight="1" thickBot="1">
      <c r="A26" s="13">
        <v>5</v>
      </c>
      <c r="B26" s="15" t="s">
        <v>167</v>
      </c>
      <c r="C26" s="14" t="s">
        <v>53</v>
      </c>
      <c r="D26" s="56" t="e">
        <f>D27+D28</f>
        <v>#REF!</v>
      </c>
      <c r="E26" s="56">
        <f>E27+E28</f>
        <v>46675.03961814495</v>
      </c>
      <c r="F26" s="56" t="e">
        <f>F27+F28</f>
        <v>#REF!</v>
      </c>
      <c r="G26" s="56" t="e">
        <f>G27+G28</f>
        <v>#REF!</v>
      </c>
    </row>
    <row r="27" spans="1:7" ht="54.75" customHeight="1" thickBot="1">
      <c r="A27" s="13" t="s">
        <v>27</v>
      </c>
      <c r="B27" s="15" t="s">
        <v>168</v>
      </c>
      <c r="C27" s="14" t="s">
        <v>53</v>
      </c>
      <c r="D27" s="56" t="e">
        <f>E27+F27+G27</f>
        <v>#REF!</v>
      </c>
      <c r="E27" s="56">
        <f>E24*E32/1000</f>
        <v>45196.473424518466</v>
      </c>
      <c r="F27" s="56" t="e">
        <f>F24*F32/1000</f>
        <v>#REF!</v>
      </c>
      <c r="G27" s="56" t="e">
        <f>G24*G32/1000</f>
        <v>#REF!</v>
      </c>
    </row>
    <row r="28" spans="1:7" ht="54" customHeight="1" thickBot="1">
      <c r="A28" s="13" t="s">
        <v>29</v>
      </c>
      <c r="B28" s="15" t="s">
        <v>169</v>
      </c>
      <c r="C28" s="14" t="s">
        <v>53</v>
      </c>
      <c r="D28" s="56" t="e">
        <f>E28+F28+G28</f>
        <v>#REF!</v>
      </c>
      <c r="E28" s="56">
        <f>E25*E32/1000</f>
        <v>1478.5661936264842</v>
      </c>
      <c r="F28" s="56" t="e">
        <f>F25*F32/1000</f>
        <v>#REF!</v>
      </c>
      <c r="G28" s="56" t="e">
        <f>G25*G32/1000</f>
        <v>#REF!</v>
      </c>
    </row>
    <row r="29" spans="1:7" ht="94.5" customHeight="1" thickBot="1">
      <c r="A29" s="46">
        <v>6</v>
      </c>
      <c r="B29" s="47" t="s">
        <v>170</v>
      </c>
      <c r="C29" s="45" t="s">
        <v>53</v>
      </c>
      <c r="D29" s="43"/>
      <c r="E29" s="43"/>
      <c r="F29" s="43"/>
      <c r="G29" s="43"/>
    </row>
    <row r="30" spans="1:7" ht="39" thickBot="1">
      <c r="A30" s="46" t="s">
        <v>37</v>
      </c>
      <c r="B30" s="47" t="s">
        <v>168</v>
      </c>
      <c r="C30" s="45" t="s">
        <v>53</v>
      </c>
      <c r="D30" s="43"/>
      <c r="E30" s="43"/>
      <c r="F30" s="43"/>
      <c r="G30" s="43"/>
    </row>
    <row r="31" spans="1:7" ht="48" customHeight="1" thickBot="1">
      <c r="A31" s="46" t="s">
        <v>39</v>
      </c>
      <c r="B31" s="47" t="s">
        <v>169</v>
      </c>
      <c r="C31" s="45" t="s">
        <v>53</v>
      </c>
      <c r="D31" s="43"/>
      <c r="E31" s="43"/>
      <c r="F31" s="43"/>
      <c r="G31" s="43"/>
    </row>
    <row r="32" spans="1:7" ht="56.25" customHeight="1" thickBot="1">
      <c r="A32" s="46">
        <v>7</v>
      </c>
      <c r="B32" s="47" t="s">
        <v>171</v>
      </c>
      <c r="C32" s="45" t="s">
        <v>18</v>
      </c>
      <c r="D32" s="43">
        <v>45408</v>
      </c>
      <c r="E32" s="43">
        <f>E33</f>
        <v>27664</v>
      </c>
      <c r="F32" s="43" t="e">
        <f>'[1]Загальна характеристика 9'!G68</f>
        <v>#REF!</v>
      </c>
      <c r="G32" s="43" t="e">
        <f>'[1]Загальна характеристика 9'!G70</f>
        <v>#REF!</v>
      </c>
    </row>
    <row r="33" spans="1:7" ht="32.25" customHeight="1" thickBot="1">
      <c r="A33" s="13" t="s">
        <v>89</v>
      </c>
      <c r="B33" s="15" t="s">
        <v>172</v>
      </c>
      <c r="C33" s="14" t="s">
        <v>18</v>
      </c>
      <c r="D33" s="40">
        <v>45408</v>
      </c>
      <c r="E33" s="40">
        <v>27664</v>
      </c>
      <c r="F33" s="40">
        <v>13528.127</v>
      </c>
      <c r="G33" s="40">
        <v>3018.476</v>
      </c>
    </row>
    <row r="34" spans="1:7" ht="30" customHeight="1" thickBot="1">
      <c r="A34" s="38" t="s">
        <v>91</v>
      </c>
      <c r="B34" s="42" t="s">
        <v>132</v>
      </c>
      <c r="C34" s="39" t="s">
        <v>18</v>
      </c>
      <c r="D34" s="41"/>
      <c r="E34" s="41"/>
      <c r="F34" s="41"/>
      <c r="G34" s="41"/>
    </row>
    <row r="35" spans="1:7" ht="17.25" customHeight="1" thickBot="1">
      <c r="A35" s="13">
        <v>8</v>
      </c>
      <c r="B35" s="15" t="s">
        <v>316</v>
      </c>
      <c r="C35" s="14"/>
      <c r="D35" s="40"/>
      <c r="E35" s="40"/>
      <c r="F35" s="40"/>
      <c r="G35" s="40"/>
    </row>
    <row r="36" spans="1:7" ht="21.75" customHeight="1" thickBot="1">
      <c r="A36" s="13" t="s">
        <v>173</v>
      </c>
      <c r="B36" s="15" t="s">
        <v>174</v>
      </c>
      <c r="C36" s="14" t="s">
        <v>25</v>
      </c>
      <c r="D36" s="40">
        <f>D16/D14*100</f>
        <v>2.912621359223301</v>
      </c>
      <c r="E36" s="40">
        <f>E16/E14*100</f>
        <v>2.9126213592233006</v>
      </c>
      <c r="F36" s="40">
        <f>F16/F14*100</f>
        <v>2.9126213592233006</v>
      </c>
      <c r="G36" s="40">
        <f>G16/G14*100</f>
        <v>2.9126213592233006</v>
      </c>
    </row>
    <row r="37" spans="1:7" ht="30" customHeight="1" thickBot="1">
      <c r="A37" s="13" t="s">
        <v>175</v>
      </c>
      <c r="B37" s="15" t="s">
        <v>176</v>
      </c>
      <c r="C37" s="14" t="s">
        <v>25</v>
      </c>
      <c r="D37" s="40">
        <f>D19/D17*100</f>
        <v>100</v>
      </c>
      <c r="E37" s="40">
        <f>E19/E17*100</f>
        <v>100</v>
      </c>
      <c r="F37" s="40">
        <f>F19/F17*100</f>
        <v>100</v>
      </c>
      <c r="G37" s="40">
        <f>G19/G17*100</f>
        <v>100</v>
      </c>
    </row>
    <row r="38" spans="1:7" ht="21.75" customHeight="1" thickBot="1">
      <c r="A38" s="13" t="s">
        <v>177</v>
      </c>
      <c r="B38" s="15" t="s">
        <v>178</v>
      </c>
      <c r="C38" s="14" t="s">
        <v>25</v>
      </c>
      <c r="D38" s="40">
        <f>D22/D20*100</f>
        <v>2.9127442484722885</v>
      </c>
      <c r="E38" s="40">
        <f>E22/E20*100</f>
        <v>2.9127442484722885</v>
      </c>
      <c r="F38" s="40">
        <f>F22/F20*100</f>
        <v>2.9127442484722885</v>
      </c>
      <c r="G38" s="40">
        <f>G22/G20*100</f>
        <v>2.9127442484722885</v>
      </c>
    </row>
    <row r="39" spans="1:7" ht="13.5" customHeight="1" thickBot="1">
      <c r="A39" s="13" t="s">
        <v>179</v>
      </c>
      <c r="B39" s="15" t="s">
        <v>180</v>
      </c>
      <c r="C39" s="14" t="s">
        <v>25</v>
      </c>
      <c r="D39" s="55" t="e">
        <f>D28/D26*100</f>
        <v>#REF!</v>
      </c>
      <c r="E39" s="55">
        <f>E28/E26*100</f>
        <v>3.167787763487384</v>
      </c>
      <c r="F39" s="55" t="e">
        <f>F28/F26*100</f>
        <v>#REF!</v>
      </c>
      <c r="G39" s="55" t="e">
        <f>G28/G26*100</f>
        <v>#REF!</v>
      </c>
    </row>
  </sheetData>
  <sheetProtection/>
  <mergeCells count="11">
    <mergeCell ref="A10:G10"/>
    <mergeCell ref="A11:A12"/>
    <mergeCell ref="B11:B12"/>
    <mergeCell ref="C11:C12"/>
    <mergeCell ref="D11:D12"/>
    <mergeCell ref="E11:G11"/>
    <mergeCell ref="A9:G9"/>
    <mergeCell ref="D2:G5"/>
    <mergeCell ref="A6:G6"/>
    <mergeCell ref="A7:G7"/>
    <mergeCell ref="A8:G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L65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5.8515625" style="7" customWidth="1"/>
    <col min="2" max="2" width="43.421875" style="0" customWidth="1"/>
    <col min="4" max="7" width="12.57421875" style="0" bestFit="1" customWidth="1"/>
    <col min="8" max="8" width="11.57421875" style="0" bestFit="1" customWidth="1"/>
  </cols>
  <sheetData>
    <row r="1" spans="1:7" ht="12.75" customHeight="1">
      <c r="A1" s="9"/>
      <c r="B1" s="1"/>
      <c r="C1" s="1"/>
      <c r="D1" s="345" t="s">
        <v>152</v>
      </c>
      <c r="E1" s="345"/>
      <c r="F1" s="345"/>
      <c r="G1" s="345"/>
    </row>
    <row r="2" spans="1:7" ht="12.75">
      <c r="A2" s="10"/>
      <c r="B2" s="3"/>
      <c r="C2" s="3"/>
      <c r="D2" s="345"/>
      <c r="E2" s="345"/>
      <c r="F2" s="345"/>
      <c r="G2" s="345"/>
    </row>
    <row r="3" spans="1:7" ht="12.75" customHeight="1">
      <c r="A3" s="9"/>
      <c r="B3" s="1"/>
      <c r="C3" s="1"/>
      <c r="D3" s="345"/>
      <c r="E3" s="345"/>
      <c r="F3" s="345"/>
      <c r="G3" s="345"/>
    </row>
    <row r="4" spans="1:7" ht="12.75">
      <c r="A4" s="10"/>
      <c r="B4" s="3"/>
      <c r="C4" s="3"/>
      <c r="D4" s="345"/>
      <c r="E4" s="345"/>
      <c r="F4" s="345"/>
      <c r="G4" s="345"/>
    </row>
    <row r="5" spans="1:7" ht="12.75">
      <c r="A5" s="299"/>
      <c r="B5" s="299"/>
      <c r="C5" s="299"/>
      <c r="D5" s="299"/>
      <c r="E5" s="299"/>
      <c r="F5" s="299"/>
      <c r="G5" s="299"/>
    </row>
    <row r="6" spans="1:7" ht="12.75" customHeight="1">
      <c r="A6" s="346" t="s">
        <v>44</v>
      </c>
      <c r="B6" s="346"/>
      <c r="C6" s="346"/>
      <c r="D6" s="346"/>
      <c r="E6" s="346"/>
      <c r="F6" s="346"/>
      <c r="G6" s="346"/>
    </row>
    <row r="7" spans="1:7" ht="12.75" customHeight="1">
      <c r="A7" s="346" t="s">
        <v>153</v>
      </c>
      <c r="B7" s="346"/>
      <c r="C7" s="346"/>
      <c r="D7" s="346"/>
      <c r="E7" s="346"/>
      <c r="F7" s="346"/>
      <c r="G7" s="346"/>
    </row>
    <row r="8" spans="1:7" ht="12.75" customHeight="1">
      <c r="A8" s="348" t="s">
        <v>329</v>
      </c>
      <c r="B8" s="348"/>
      <c r="C8" s="348"/>
      <c r="D8" s="348"/>
      <c r="E8" s="348"/>
      <c r="F8" s="348"/>
      <c r="G8" s="348"/>
    </row>
    <row r="9" spans="1:7" ht="13.5" thickBot="1">
      <c r="A9" s="347" t="s">
        <v>46</v>
      </c>
      <c r="B9" s="347"/>
      <c r="C9" s="347"/>
      <c r="D9" s="347"/>
      <c r="E9" s="347"/>
      <c r="F9" s="347"/>
      <c r="G9" s="347"/>
    </row>
    <row r="10" spans="1:7" ht="37.5" customHeight="1" thickBot="1">
      <c r="A10" s="293" t="s">
        <v>1</v>
      </c>
      <c r="B10" s="302" t="s">
        <v>154</v>
      </c>
      <c r="C10" s="302" t="s">
        <v>47</v>
      </c>
      <c r="D10" s="302" t="s">
        <v>155</v>
      </c>
      <c r="E10" s="334" t="s">
        <v>156</v>
      </c>
      <c r="F10" s="335"/>
      <c r="G10" s="336"/>
    </row>
    <row r="11" spans="1:7" ht="26.25" thickBot="1">
      <c r="A11" s="255"/>
      <c r="B11" s="291"/>
      <c r="C11" s="291"/>
      <c r="D11" s="291"/>
      <c r="E11" s="45" t="s">
        <v>38</v>
      </c>
      <c r="F11" s="45" t="s">
        <v>40</v>
      </c>
      <c r="G11" s="45" t="s">
        <v>42</v>
      </c>
    </row>
    <row r="12" spans="1:7" ht="13.5" thickBot="1">
      <c r="A12" s="46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</row>
    <row r="13" spans="1:7" ht="13.5" thickBot="1">
      <c r="A13" s="46">
        <v>1</v>
      </c>
      <c r="B13" s="47" t="s">
        <v>157</v>
      </c>
      <c r="C13" s="45" t="s">
        <v>101</v>
      </c>
      <c r="D13" s="73">
        <v>1634.66</v>
      </c>
      <c r="E13" s="73">
        <v>1653.81</v>
      </c>
      <c r="F13" s="73">
        <v>1608.93</v>
      </c>
      <c r="G13" s="73">
        <v>1616.05</v>
      </c>
    </row>
    <row r="14" spans="1:7" ht="26.25" thickBot="1">
      <c r="A14" s="46" t="s">
        <v>19</v>
      </c>
      <c r="B14" s="47" t="s">
        <v>158</v>
      </c>
      <c r="C14" s="45" t="s">
        <v>101</v>
      </c>
      <c r="D14" s="73">
        <v>1587.29</v>
      </c>
      <c r="E14" s="73">
        <v>1605.62</v>
      </c>
      <c r="F14" s="73">
        <v>1562.09</v>
      </c>
      <c r="G14" s="73">
        <v>1568.98</v>
      </c>
    </row>
    <row r="15" spans="1:7" ht="13.5" thickBot="1">
      <c r="A15" s="46" t="s">
        <v>20</v>
      </c>
      <c r="B15" s="47" t="s">
        <v>159</v>
      </c>
      <c r="C15" s="45" t="s">
        <v>101</v>
      </c>
      <c r="D15" s="73">
        <v>47.37</v>
      </c>
      <c r="E15" s="73">
        <v>48.19</v>
      </c>
      <c r="F15" s="73">
        <v>46.84</v>
      </c>
      <c r="G15" s="73">
        <v>47.07</v>
      </c>
    </row>
    <row r="16" spans="1:7" ht="26.25" thickBot="1">
      <c r="A16" s="46">
        <v>2</v>
      </c>
      <c r="B16" s="47" t="s">
        <v>160</v>
      </c>
      <c r="C16" s="45" t="s">
        <v>101</v>
      </c>
      <c r="D16" s="73">
        <v>157.26</v>
      </c>
      <c r="E16" s="73">
        <v>157.26</v>
      </c>
      <c r="F16" s="73">
        <v>157.26</v>
      </c>
      <c r="G16" s="73">
        <v>157.26</v>
      </c>
    </row>
    <row r="17" spans="1:7" ht="26.25" thickBot="1">
      <c r="A17" s="46" t="s">
        <v>22</v>
      </c>
      <c r="B17" s="47" t="s">
        <v>161</v>
      </c>
      <c r="C17" s="45" t="s">
        <v>101</v>
      </c>
      <c r="D17" s="73">
        <v>152.68</v>
      </c>
      <c r="E17" s="73">
        <v>152.68</v>
      </c>
      <c r="F17" s="73">
        <v>152.68</v>
      </c>
      <c r="G17" s="73">
        <v>152.68</v>
      </c>
    </row>
    <row r="18" spans="1:8" ht="13.5" thickBot="1">
      <c r="A18" s="46" t="s">
        <v>24</v>
      </c>
      <c r="B18" s="47" t="s">
        <v>159</v>
      </c>
      <c r="C18" s="45" t="s">
        <v>101</v>
      </c>
      <c r="D18" s="73">
        <v>4.58</v>
      </c>
      <c r="E18" s="73">
        <v>4.58</v>
      </c>
      <c r="F18" s="73">
        <v>4.58</v>
      </c>
      <c r="G18" s="73">
        <v>4.58</v>
      </c>
      <c r="H18" s="44"/>
    </row>
    <row r="19" spans="1:7" ht="13.5" thickBot="1">
      <c r="A19" s="46">
        <v>3</v>
      </c>
      <c r="B19" s="47" t="s">
        <v>162</v>
      </c>
      <c r="C19" s="45" t="s">
        <v>101</v>
      </c>
      <c r="D19" s="73">
        <v>28.97</v>
      </c>
      <c r="E19" s="73">
        <v>28.97</v>
      </c>
      <c r="F19" s="73">
        <v>28.97</v>
      </c>
      <c r="G19" s="73">
        <v>28.97</v>
      </c>
    </row>
    <row r="20" spans="1:7" ht="26.25" thickBot="1">
      <c r="A20" s="46" t="s">
        <v>83</v>
      </c>
      <c r="B20" s="47" t="s">
        <v>163</v>
      </c>
      <c r="C20" s="45" t="s">
        <v>101</v>
      </c>
      <c r="D20" s="73">
        <f>D19-D21</f>
        <v>28.13</v>
      </c>
      <c r="E20" s="73">
        <f>E19-E21</f>
        <v>28.13</v>
      </c>
      <c r="F20" s="73">
        <f>F19-F21</f>
        <v>28.13</v>
      </c>
      <c r="G20" s="73">
        <f>G19-G21</f>
        <v>28.13</v>
      </c>
    </row>
    <row r="21" spans="1:8" ht="13.5" thickBot="1">
      <c r="A21" s="46" t="s">
        <v>84</v>
      </c>
      <c r="B21" s="47" t="s">
        <v>159</v>
      </c>
      <c r="C21" s="45" t="s">
        <v>101</v>
      </c>
      <c r="D21" s="73">
        <v>0.84</v>
      </c>
      <c r="E21" s="73">
        <v>0.84</v>
      </c>
      <c r="F21" s="73">
        <v>0.84</v>
      </c>
      <c r="G21" s="73">
        <v>0.84</v>
      </c>
      <c r="H21" s="44"/>
    </row>
    <row r="22" spans="1:12" ht="13.5" thickBot="1">
      <c r="A22" s="46">
        <v>4</v>
      </c>
      <c r="B22" s="47" t="s">
        <v>164</v>
      </c>
      <c r="C22" s="45" t="s">
        <v>101</v>
      </c>
      <c r="D22" s="73">
        <f aca="true" t="shared" si="0" ref="D22:G24">D13+D16+D19</f>
        <v>1820.89</v>
      </c>
      <c r="E22" s="73">
        <f t="shared" si="0"/>
        <v>1840.04</v>
      </c>
      <c r="F22" s="73">
        <f t="shared" si="0"/>
        <v>1795.16</v>
      </c>
      <c r="G22" s="73">
        <f t="shared" si="0"/>
        <v>1802.28</v>
      </c>
      <c r="H22" s="90">
        <f>G23+G24</f>
        <v>1802.2800000000002</v>
      </c>
      <c r="I22" s="90">
        <f>F23+F24</f>
        <v>1795.16</v>
      </c>
      <c r="J22" s="77"/>
      <c r="K22" s="77"/>
      <c r="L22" s="77"/>
    </row>
    <row r="23" spans="1:12" ht="13.5" thickBot="1">
      <c r="A23" s="46" t="s">
        <v>26</v>
      </c>
      <c r="B23" s="47" t="s">
        <v>165</v>
      </c>
      <c r="C23" s="45" t="s">
        <v>101</v>
      </c>
      <c r="D23" s="73">
        <f t="shared" si="0"/>
        <v>1768.1000000000001</v>
      </c>
      <c r="E23" s="73">
        <f t="shared" si="0"/>
        <v>1786.43</v>
      </c>
      <c r="F23" s="73">
        <f t="shared" si="0"/>
        <v>1742.9</v>
      </c>
      <c r="G23" s="73">
        <f t="shared" si="0"/>
        <v>1749.7900000000002</v>
      </c>
      <c r="H23" s="90"/>
      <c r="I23" s="77"/>
      <c r="J23" s="77"/>
      <c r="K23" s="77"/>
      <c r="L23" s="77"/>
    </row>
    <row r="24" spans="1:12" ht="13.5" thickBot="1">
      <c r="A24" s="46" t="s">
        <v>166</v>
      </c>
      <c r="B24" s="47" t="s">
        <v>159</v>
      </c>
      <c r="C24" s="45" t="s">
        <v>101</v>
      </c>
      <c r="D24" s="73">
        <f t="shared" si="0"/>
        <v>52.79</v>
      </c>
      <c r="E24" s="73">
        <f t="shared" si="0"/>
        <v>53.61</v>
      </c>
      <c r="F24" s="73">
        <f t="shared" si="0"/>
        <v>52.260000000000005</v>
      </c>
      <c r="G24" s="73">
        <f t="shared" si="0"/>
        <v>52.49</v>
      </c>
      <c r="H24" s="90"/>
      <c r="I24" s="77"/>
      <c r="J24" s="77"/>
      <c r="K24" s="77"/>
      <c r="L24" s="77"/>
    </row>
    <row r="25" spans="1:12" ht="39" thickBot="1">
      <c r="A25" s="46">
        <v>5</v>
      </c>
      <c r="B25" s="47" t="s">
        <v>167</v>
      </c>
      <c r="C25" s="45" t="s">
        <v>53</v>
      </c>
      <c r="D25" s="73">
        <f>E25+F25+G25</f>
        <v>83918.07553084</v>
      </c>
      <c r="E25" s="73">
        <f>E22*E31/1000</f>
        <v>47600.211884719996</v>
      </c>
      <c r="F25" s="73">
        <f>F22*F31/1000</f>
        <v>29981.243614639996</v>
      </c>
      <c r="G25" s="73">
        <f>G22*G31/1000</f>
        <v>6336.620031480001</v>
      </c>
      <c r="H25" s="91"/>
      <c r="I25" s="77">
        <f>E24*E32/1000</f>
        <v>1386.84341598</v>
      </c>
      <c r="J25" s="77"/>
      <c r="K25" s="77"/>
      <c r="L25" s="77"/>
    </row>
    <row r="26" spans="1:12" ht="26.25" thickBot="1">
      <c r="A26" s="46" t="s">
        <v>27</v>
      </c>
      <c r="B26" s="47" t="s">
        <v>168</v>
      </c>
      <c r="C26" s="45" t="s">
        <v>53</v>
      </c>
      <c r="D26" s="73">
        <f>E26+F26+G26</f>
        <v>81473.88068823001</v>
      </c>
      <c r="E26" s="73">
        <f>E23*E31/1000</f>
        <v>46213.36846874</v>
      </c>
      <c r="F26" s="73">
        <f>F23*F31/1000</f>
        <v>29108.4413066</v>
      </c>
      <c r="G26" s="73">
        <f>G23*G31/1000</f>
        <v>6152.070912890002</v>
      </c>
      <c r="H26" s="108"/>
      <c r="I26" s="91"/>
      <c r="J26" s="77"/>
      <c r="K26" s="77"/>
      <c r="L26" s="77"/>
    </row>
    <row r="27" spans="1:12" ht="26.25" thickBot="1">
      <c r="A27" s="46" t="s">
        <v>29</v>
      </c>
      <c r="B27" s="47" t="s">
        <v>169</v>
      </c>
      <c r="C27" s="45" t="s">
        <v>53</v>
      </c>
      <c r="D27" s="73">
        <f>E27+F27+G27</f>
        <v>2444.19484261</v>
      </c>
      <c r="E27" s="73">
        <f>E24*E31/1000</f>
        <v>1386.84341598</v>
      </c>
      <c r="F27" s="73">
        <f>F24*F31/1000</f>
        <v>872.8023080400001</v>
      </c>
      <c r="G27" s="73">
        <f>G24*G31/1000</f>
        <v>184.54911859</v>
      </c>
      <c r="H27" s="77">
        <f>E24*E32/1000</f>
        <v>1386.84341598</v>
      </c>
      <c r="I27" s="77"/>
      <c r="J27" s="77"/>
      <c r="K27" s="77"/>
      <c r="L27" s="77"/>
    </row>
    <row r="28" spans="1:12" ht="51.75" thickBot="1">
      <c r="A28" s="46">
        <v>6</v>
      </c>
      <c r="B28" s="47" t="s">
        <v>170</v>
      </c>
      <c r="C28" s="45" t="s">
        <v>53</v>
      </c>
      <c r="D28" s="73">
        <f aca="true" t="shared" si="1" ref="D28:G30">D25</f>
        <v>83918.07553084</v>
      </c>
      <c r="E28" s="73">
        <f t="shared" si="1"/>
        <v>47600.211884719996</v>
      </c>
      <c r="F28" s="73">
        <f t="shared" si="1"/>
        <v>29981.243614639996</v>
      </c>
      <c r="G28" s="73">
        <f t="shared" si="1"/>
        <v>6336.620031480001</v>
      </c>
      <c r="H28" s="77"/>
      <c r="I28" s="77"/>
      <c r="J28" s="77">
        <f>D24/D22*100</f>
        <v>2.8991317432684016</v>
      </c>
      <c r="K28" s="77"/>
      <c r="L28" s="77"/>
    </row>
    <row r="29" spans="1:12" ht="26.25" thickBot="1">
      <c r="A29" s="46" t="s">
        <v>37</v>
      </c>
      <c r="B29" s="47" t="s">
        <v>168</v>
      </c>
      <c r="C29" s="45" t="s">
        <v>53</v>
      </c>
      <c r="D29" s="73">
        <f t="shared" si="1"/>
        <v>81473.88068823001</v>
      </c>
      <c r="E29" s="73">
        <f t="shared" si="1"/>
        <v>46213.36846874</v>
      </c>
      <c r="F29" s="73">
        <f t="shared" si="1"/>
        <v>29108.4413066</v>
      </c>
      <c r="G29" s="73">
        <f t="shared" si="1"/>
        <v>6152.070912890002</v>
      </c>
      <c r="H29" s="90"/>
      <c r="I29" s="77"/>
      <c r="J29" s="77"/>
      <c r="K29" s="77"/>
      <c r="L29" s="77"/>
    </row>
    <row r="30" spans="1:12" ht="26.25" thickBot="1">
      <c r="A30" s="46" t="s">
        <v>39</v>
      </c>
      <c r="B30" s="47" t="s">
        <v>169</v>
      </c>
      <c r="C30" s="45" t="s">
        <v>53</v>
      </c>
      <c r="D30" s="73">
        <f t="shared" si="1"/>
        <v>2444.19484261</v>
      </c>
      <c r="E30" s="73">
        <f t="shared" si="1"/>
        <v>1386.84341598</v>
      </c>
      <c r="F30" s="73">
        <f t="shared" si="1"/>
        <v>872.8023080400001</v>
      </c>
      <c r="G30" s="73">
        <f t="shared" si="1"/>
        <v>184.54911859</v>
      </c>
      <c r="H30" s="90">
        <f>G30+F30+E30</f>
        <v>2444.19484261</v>
      </c>
      <c r="I30" s="86">
        <v>3243.5</v>
      </c>
      <c r="J30" s="77"/>
      <c r="K30" s="77"/>
      <c r="L30" s="77"/>
    </row>
    <row r="31" spans="1:12" ht="39" thickBot="1">
      <c r="A31" s="46">
        <v>7</v>
      </c>
      <c r="B31" s="47" t="s">
        <v>171</v>
      </c>
      <c r="C31" s="45" t="s">
        <v>18</v>
      </c>
      <c r="D31" s="73">
        <v>46086.164</v>
      </c>
      <c r="E31" s="73">
        <v>25869.118</v>
      </c>
      <c r="F31" s="73">
        <v>16701.154</v>
      </c>
      <c r="G31" s="73">
        <v>3515.891</v>
      </c>
      <c r="H31" s="77"/>
      <c r="I31" s="77"/>
      <c r="J31" s="77"/>
      <c r="K31" s="77"/>
      <c r="L31" s="77"/>
    </row>
    <row r="32" spans="1:12" ht="26.25" thickBot="1">
      <c r="A32" s="46" t="s">
        <v>89</v>
      </c>
      <c r="B32" s="47" t="s">
        <v>172</v>
      </c>
      <c r="C32" s="45" t="s">
        <v>18</v>
      </c>
      <c r="D32" s="73">
        <v>46086.164</v>
      </c>
      <c r="E32" s="73">
        <v>25869.118</v>
      </c>
      <c r="F32" s="73">
        <v>16701.154</v>
      </c>
      <c r="G32" s="73">
        <v>3515.891</v>
      </c>
      <c r="H32" s="77"/>
      <c r="I32" s="77"/>
      <c r="J32" s="77"/>
      <c r="K32" s="77"/>
      <c r="L32" s="77"/>
    </row>
    <row r="33" spans="1:12" ht="26.25" thickBot="1">
      <c r="A33" s="46" t="s">
        <v>91</v>
      </c>
      <c r="B33" s="47" t="s">
        <v>132</v>
      </c>
      <c r="C33" s="45" t="s">
        <v>18</v>
      </c>
      <c r="D33" s="73"/>
      <c r="E33" s="73"/>
      <c r="F33" s="73"/>
      <c r="G33" s="73"/>
      <c r="H33" s="77"/>
      <c r="I33" s="77"/>
      <c r="J33" s="77"/>
      <c r="K33" s="77"/>
      <c r="L33" s="77"/>
    </row>
    <row r="34" spans="1:12" ht="13.5" thickBot="1">
      <c r="A34" s="46">
        <v>8</v>
      </c>
      <c r="B34" s="47" t="s">
        <v>316</v>
      </c>
      <c r="C34" s="45"/>
      <c r="D34" s="73">
        <v>3</v>
      </c>
      <c r="E34" s="73">
        <v>3</v>
      </c>
      <c r="F34" s="73">
        <v>3</v>
      </c>
      <c r="G34" s="73">
        <v>3</v>
      </c>
      <c r="H34" s="77"/>
      <c r="I34" s="77"/>
      <c r="J34" s="77"/>
      <c r="K34" s="77"/>
      <c r="L34" s="77"/>
    </row>
    <row r="35" spans="1:12" ht="13.5" thickBot="1">
      <c r="A35" s="46" t="s">
        <v>173</v>
      </c>
      <c r="B35" s="47" t="s">
        <v>174</v>
      </c>
      <c r="C35" s="45" t="s">
        <v>25</v>
      </c>
      <c r="D35" s="73">
        <v>3</v>
      </c>
      <c r="E35" s="73">
        <v>3</v>
      </c>
      <c r="F35" s="73">
        <v>3</v>
      </c>
      <c r="G35" s="73">
        <v>3</v>
      </c>
      <c r="H35" s="77"/>
      <c r="I35" s="77"/>
      <c r="J35" s="77"/>
      <c r="K35" s="77"/>
      <c r="L35" s="77"/>
    </row>
    <row r="36" spans="1:12" ht="13.5" thickBot="1">
      <c r="A36" s="46" t="s">
        <v>175</v>
      </c>
      <c r="B36" s="47" t="s">
        <v>176</v>
      </c>
      <c r="C36" s="45" t="s">
        <v>25</v>
      </c>
      <c r="D36" s="73">
        <v>3</v>
      </c>
      <c r="E36" s="73">
        <v>3</v>
      </c>
      <c r="F36" s="73">
        <v>3</v>
      </c>
      <c r="G36" s="73">
        <v>3</v>
      </c>
      <c r="H36" s="77"/>
      <c r="I36" s="77"/>
      <c r="J36" s="77"/>
      <c r="K36" s="77"/>
      <c r="L36" s="77"/>
    </row>
    <row r="37" spans="1:12" ht="13.5" thickBot="1">
      <c r="A37" s="46" t="s">
        <v>177</v>
      </c>
      <c r="B37" s="47" t="s">
        <v>178</v>
      </c>
      <c r="C37" s="45" t="s">
        <v>25</v>
      </c>
      <c r="D37" s="73">
        <v>3</v>
      </c>
      <c r="E37" s="73">
        <v>3</v>
      </c>
      <c r="F37" s="73">
        <v>3</v>
      </c>
      <c r="G37" s="73">
        <v>3</v>
      </c>
      <c r="H37" s="77"/>
      <c r="I37" s="77"/>
      <c r="J37" s="77"/>
      <c r="K37" s="77"/>
      <c r="L37" s="77"/>
    </row>
    <row r="38" spans="1:12" ht="13.5" thickBot="1">
      <c r="A38" s="46" t="s">
        <v>179</v>
      </c>
      <c r="B38" s="47" t="s">
        <v>180</v>
      </c>
      <c r="C38" s="45" t="s">
        <v>25</v>
      </c>
      <c r="D38" s="73">
        <v>3</v>
      </c>
      <c r="E38" s="73">
        <v>3</v>
      </c>
      <c r="F38" s="73">
        <v>3</v>
      </c>
      <c r="G38" s="73">
        <v>3</v>
      </c>
      <c r="H38" s="77"/>
      <c r="I38" s="77"/>
      <c r="J38" s="77"/>
      <c r="K38" s="77"/>
      <c r="L38" s="77"/>
    </row>
    <row r="39" spans="1:12" ht="12.75">
      <c r="A39" s="300"/>
      <c r="B39" s="300"/>
      <c r="C39" s="300"/>
      <c r="D39" s="300"/>
      <c r="E39" s="300"/>
      <c r="F39" s="300"/>
      <c r="G39" s="300"/>
      <c r="H39" s="77"/>
      <c r="I39" s="77"/>
      <c r="J39" s="77"/>
      <c r="K39" s="77"/>
      <c r="L39" s="77"/>
    </row>
    <row r="40" spans="1:12" ht="12.75">
      <c r="A40" s="301"/>
      <c r="B40" s="301"/>
      <c r="C40" s="301"/>
      <c r="D40" s="301"/>
      <c r="E40" s="301"/>
      <c r="F40" s="301"/>
      <c r="G40" s="301"/>
      <c r="H40" s="77"/>
      <c r="I40" s="77"/>
      <c r="J40" s="77"/>
      <c r="K40" s="77"/>
      <c r="L40" s="77"/>
    </row>
    <row r="41" spans="1:12" ht="12.75">
      <c r="A41" s="299"/>
      <c r="B41" s="299"/>
      <c r="C41" s="299"/>
      <c r="D41" s="299"/>
      <c r="E41" s="299"/>
      <c r="F41" s="299"/>
      <c r="G41" s="299"/>
      <c r="H41" s="77"/>
      <c r="I41" s="77"/>
      <c r="J41" s="77"/>
      <c r="K41" s="77"/>
      <c r="L41" s="77"/>
    </row>
    <row r="42" spans="1:12" ht="12.75" customHeight="1">
      <c r="A42" s="301" t="s">
        <v>365</v>
      </c>
      <c r="B42" s="301"/>
      <c r="C42" s="301"/>
      <c r="D42" s="301"/>
      <c r="E42" s="301"/>
      <c r="F42" s="301"/>
      <c r="G42" s="301"/>
      <c r="H42" s="77"/>
      <c r="I42" s="77"/>
      <c r="J42" s="77"/>
      <c r="K42" s="77"/>
      <c r="L42" s="77"/>
    </row>
    <row r="43" spans="1:12" ht="12.75">
      <c r="A43" s="299"/>
      <c r="B43" s="299"/>
      <c r="C43" s="299"/>
      <c r="D43" s="299"/>
      <c r="E43" s="299"/>
      <c r="F43" s="299"/>
      <c r="G43" s="299"/>
      <c r="H43" s="77"/>
      <c r="I43" s="77"/>
      <c r="J43" s="77"/>
      <c r="K43" s="77"/>
      <c r="L43" s="77"/>
    </row>
    <row r="44" spans="1:12" ht="12.75" customHeight="1">
      <c r="A44" s="301" t="s">
        <v>328</v>
      </c>
      <c r="B44" s="301"/>
      <c r="C44" s="301"/>
      <c r="D44" s="301"/>
      <c r="E44" s="301"/>
      <c r="F44" s="301"/>
      <c r="G44" s="301"/>
      <c r="H44" s="77"/>
      <c r="I44" s="77"/>
      <c r="J44" s="77"/>
      <c r="K44" s="77"/>
      <c r="L44" s="77"/>
    </row>
    <row r="45" spans="1:12" ht="12.75">
      <c r="A45" s="349"/>
      <c r="B45" s="349"/>
      <c r="C45" s="349"/>
      <c r="D45" s="349"/>
      <c r="E45" s="349"/>
      <c r="F45" s="349"/>
      <c r="G45" s="349"/>
      <c r="H45" s="77"/>
      <c r="I45" s="77"/>
      <c r="J45" s="77"/>
      <c r="K45" s="77"/>
      <c r="L45" s="77"/>
    </row>
    <row r="46" spans="1:12" ht="12.75">
      <c r="A46" s="96"/>
      <c r="B46" s="77"/>
      <c r="C46" s="77"/>
      <c r="D46" s="86">
        <f>D24/D22*100</f>
        <v>2.8991317432684016</v>
      </c>
      <c r="E46" s="86">
        <v>4.899</v>
      </c>
      <c r="F46" s="86">
        <v>12.79999</v>
      </c>
      <c r="G46" s="86">
        <v>18.6789</v>
      </c>
      <c r="H46" s="86"/>
      <c r="I46" s="77"/>
      <c r="J46" s="77"/>
      <c r="K46" s="90">
        <f>D30-H48-'Транспортування 4'!G38-'Постачання 5'!G32</f>
        <v>2444.19484261</v>
      </c>
      <c r="L46" s="77"/>
    </row>
    <row r="47" spans="1:12" ht="12.75">
      <c r="A47" s="96"/>
      <c r="B47" s="77"/>
      <c r="C47" s="77"/>
      <c r="D47" s="86"/>
      <c r="E47" s="86"/>
      <c r="F47" s="86"/>
      <c r="G47" s="86"/>
      <c r="H47" s="86"/>
      <c r="I47" s="77"/>
      <c r="J47" s="77"/>
      <c r="K47" s="77"/>
      <c r="L47" s="77"/>
    </row>
    <row r="48" spans="1:12" ht="12.75">
      <c r="A48" s="96"/>
      <c r="B48" s="77"/>
      <c r="C48" s="77"/>
      <c r="D48" s="86"/>
      <c r="E48" s="86">
        <f>E26*E46/100*'Виробництво 3'!K37/'Тариф на теплову енергію 6'!E26</f>
        <v>0</v>
      </c>
      <c r="F48" s="86">
        <f>F26*F46/100*'Виробництво 3'!O37/'Тариф на теплову енергію 6'!F26</f>
        <v>0</v>
      </c>
      <c r="G48" s="86">
        <f>G26*G46/100*'Виробництво 3'!S37/G26</f>
        <v>0</v>
      </c>
      <c r="H48" s="86">
        <f>G48+F48+E48</f>
        <v>0</v>
      </c>
      <c r="I48" s="77"/>
      <c r="J48" s="77"/>
      <c r="K48" s="77"/>
      <c r="L48" s="77"/>
    </row>
    <row r="49" spans="1:12" ht="12.75">
      <c r="A49" s="96"/>
      <c r="B49" s="77"/>
      <c r="C49" s="77"/>
      <c r="D49" s="86"/>
      <c r="E49" s="86"/>
      <c r="F49" s="86"/>
      <c r="G49" s="86"/>
      <c r="H49" s="86"/>
      <c r="I49" s="77"/>
      <c r="J49" s="77"/>
      <c r="K49" s="77"/>
      <c r="L49" s="77"/>
    </row>
    <row r="50" spans="1:8" ht="12.75">
      <c r="A50" s="96"/>
      <c r="B50" s="77"/>
      <c r="C50" s="77"/>
      <c r="D50" s="86"/>
      <c r="E50" s="86"/>
      <c r="F50" s="86"/>
      <c r="G50" s="86"/>
      <c r="H50" s="86"/>
    </row>
    <row r="51" spans="1:8" ht="12.75">
      <c r="A51" s="96"/>
      <c r="B51" s="77"/>
      <c r="C51" s="77"/>
      <c r="D51" s="86"/>
      <c r="E51" s="86">
        <v>10</v>
      </c>
      <c r="F51" s="86"/>
      <c r="G51" s="86"/>
      <c r="H51" s="86"/>
    </row>
    <row r="52" spans="1:8" ht="12.75">
      <c r="A52" s="96"/>
      <c r="B52" s="77"/>
      <c r="C52" s="77"/>
      <c r="D52" s="86"/>
      <c r="E52" s="86"/>
      <c r="F52" s="86"/>
      <c r="G52" s="86"/>
      <c r="H52" s="86"/>
    </row>
    <row r="53" spans="1:8" ht="12.75">
      <c r="A53" s="96"/>
      <c r="B53" s="77"/>
      <c r="C53" s="77"/>
      <c r="D53" s="86"/>
      <c r="E53" s="86"/>
      <c r="F53" s="86"/>
      <c r="G53" s="86"/>
      <c r="H53" s="86"/>
    </row>
    <row r="54" spans="1:8" ht="12.75">
      <c r="A54" s="96"/>
      <c r="B54" s="77"/>
      <c r="C54" s="77"/>
      <c r="D54" s="77"/>
      <c r="E54" s="77"/>
      <c r="F54" s="77"/>
      <c r="G54" s="77"/>
      <c r="H54" s="77"/>
    </row>
    <row r="55" spans="1:8" ht="12.75">
      <c r="A55" s="96"/>
      <c r="B55" s="77"/>
      <c r="C55" s="77"/>
      <c r="D55" s="77"/>
      <c r="E55" s="77"/>
      <c r="F55" s="77"/>
      <c r="G55" s="77"/>
      <c r="H55" s="77"/>
    </row>
    <row r="56" spans="1:8" ht="12.75">
      <c r="A56" s="96"/>
      <c r="B56" s="77"/>
      <c r="C56" s="77"/>
      <c r="D56" s="77"/>
      <c r="E56" s="77"/>
      <c r="F56" s="77"/>
      <c r="G56" s="77"/>
      <c r="H56" s="77"/>
    </row>
    <row r="57" spans="1:8" ht="12.75">
      <c r="A57" s="96"/>
      <c r="B57" s="77"/>
      <c r="C57" s="77"/>
      <c r="D57" s="77"/>
      <c r="E57" s="77"/>
      <c r="F57" s="77"/>
      <c r="G57" s="77"/>
      <c r="H57" s="77"/>
    </row>
    <row r="58" spans="1:8" ht="12.75">
      <c r="A58" s="96"/>
      <c r="B58" s="77"/>
      <c r="C58" s="77"/>
      <c r="D58" s="86">
        <v>11</v>
      </c>
      <c r="E58" s="86">
        <v>4.899</v>
      </c>
      <c r="F58" s="86">
        <v>12.612</v>
      </c>
      <c r="G58" s="86">
        <v>17.999</v>
      </c>
      <c r="H58" s="86"/>
    </row>
    <row r="59" spans="1:8" ht="12.75">
      <c r="A59" s="96"/>
      <c r="B59" s="77"/>
      <c r="C59" s="77"/>
      <c r="D59" s="86"/>
      <c r="E59" s="86"/>
      <c r="F59" s="86"/>
      <c r="G59" s="86"/>
      <c r="H59" s="86"/>
    </row>
    <row r="60" spans="1:8" ht="12.75">
      <c r="A60" s="96"/>
      <c r="B60" s="77"/>
      <c r="C60" s="77"/>
      <c r="D60" s="86"/>
      <c r="E60" s="86" t="e">
        <f>E38*E58/100*'Виробництво 3'!#REF!/'Тариф на теплову енергію 6'!E38</f>
        <v>#REF!</v>
      </c>
      <c r="F60" s="86" t="e">
        <f>F38*F58/100*'Виробництво 3'!#REF!/'Тариф на теплову енергію 6'!F38</f>
        <v>#REF!</v>
      </c>
      <c r="G60" s="86" t="e">
        <f>G38*G58/100*'Виробництво 3'!#REF!/G38</f>
        <v>#REF!</v>
      </c>
      <c r="H60" s="86" t="e">
        <f>G60+F60+E60</f>
        <v>#REF!</v>
      </c>
    </row>
    <row r="61" spans="1:8" ht="12.75">
      <c r="A61" s="96"/>
      <c r="B61" s="77"/>
      <c r="C61" s="77"/>
      <c r="D61" s="86"/>
      <c r="E61" s="86"/>
      <c r="F61" s="86"/>
      <c r="G61" s="86"/>
      <c r="H61" s="86"/>
    </row>
    <row r="62" spans="1:8" ht="12.75">
      <c r="A62" s="96"/>
      <c r="B62" s="77"/>
      <c r="C62" s="77"/>
      <c r="D62" s="86"/>
      <c r="E62" s="86"/>
      <c r="F62" s="86"/>
      <c r="G62" s="86"/>
      <c r="H62" s="86"/>
    </row>
    <row r="63" spans="1:8" ht="12.75">
      <c r="A63" s="96"/>
      <c r="B63" s="77"/>
      <c r="C63" s="77"/>
      <c r="D63" s="86"/>
      <c r="E63" s="86">
        <v>10</v>
      </c>
      <c r="F63" s="86"/>
      <c r="G63" s="86"/>
      <c r="H63" s="86"/>
    </row>
    <row r="64" spans="1:8" ht="12.75">
      <c r="A64" s="96"/>
      <c r="B64" s="77"/>
      <c r="C64" s="77"/>
      <c r="D64" s="86"/>
      <c r="E64" s="86"/>
      <c r="F64" s="86"/>
      <c r="G64" s="86"/>
      <c r="H64" s="86"/>
    </row>
    <row r="65" spans="4:8" ht="12.75">
      <c r="D65" s="95"/>
      <c r="E65" s="95"/>
      <c r="F65" s="95"/>
      <c r="G65" s="95"/>
      <c r="H65" s="95"/>
    </row>
  </sheetData>
  <sheetProtection/>
  <mergeCells count="18">
    <mergeCell ref="D1:G4"/>
    <mergeCell ref="A5:G5"/>
    <mergeCell ref="A6:G6"/>
    <mergeCell ref="A7:G7"/>
    <mergeCell ref="A8:G8"/>
    <mergeCell ref="A9:G9"/>
    <mergeCell ref="C10:C11"/>
    <mergeCell ref="D10:D11"/>
    <mergeCell ref="E10:G10"/>
    <mergeCell ref="A10:A11"/>
    <mergeCell ref="B10:B11"/>
    <mergeCell ref="A43:G43"/>
    <mergeCell ref="A44:G44"/>
    <mergeCell ref="A45:G45"/>
    <mergeCell ref="A39:G39"/>
    <mergeCell ref="A40:G40"/>
    <mergeCell ref="A41:G41"/>
    <mergeCell ref="A42:G4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1"/>
  <sheetViews>
    <sheetView zoomScalePageLayoutView="0" workbookViewId="0" topLeftCell="A49">
      <selection activeCell="A61" sqref="A61:I61"/>
    </sheetView>
  </sheetViews>
  <sheetFormatPr defaultColWidth="9.140625" defaultRowHeight="12.75"/>
  <cols>
    <col min="1" max="1" width="38.57421875" style="0" customWidth="1"/>
    <col min="2" max="2" width="10.7109375" style="0" customWidth="1"/>
    <col min="3" max="4" width="10.140625" style="0" customWidth="1"/>
    <col min="6" max="6" width="10.57421875" style="0" bestFit="1" customWidth="1"/>
    <col min="7" max="7" width="11.28125" style="0" customWidth="1"/>
    <col min="8" max="8" width="10.8515625" style="0" customWidth="1"/>
    <col min="9" max="9" width="11.28125" style="0" customWidth="1"/>
  </cols>
  <sheetData>
    <row r="1" spans="1:9" ht="12.75">
      <c r="A1" s="27"/>
      <c r="B1" s="27"/>
      <c r="C1" s="27"/>
      <c r="D1" s="27"/>
      <c r="E1" s="27"/>
      <c r="F1" s="27"/>
      <c r="G1" s="27"/>
      <c r="H1" s="27"/>
      <c r="I1" s="27"/>
    </row>
    <row r="2" spans="1:9" ht="12.75">
      <c r="A2" s="26"/>
      <c r="B2" s="26"/>
      <c r="C2" s="26"/>
      <c r="D2" s="26"/>
      <c r="E2" s="26"/>
      <c r="F2" s="359" t="s">
        <v>402</v>
      </c>
      <c r="G2" s="359"/>
      <c r="H2" s="359"/>
      <c r="I2" s="359"/>
    </row>
    <row r="3" spans="1:9" ht="12.75">
      <c r="A3" s="26"/>
      <c r="B3" s="26"/>
      <c r="C3" s="26"/>
      <c r="D3" s="26"/>
      <c r="E3" s="26"/>
      <c r="F3" s="359"/>
      <c r="G3" s="359"/>
      <c r="H3" s="359"/>
      <c r="I3" s="359"/>
    </row>
    <row r="4" spans="1:9" ht="12.75">
      <c r="A4" s="30"/>
      <c r="B4" s="30"/>
      <c r="C4" s="30"/>
      <c r="D4" s="30"/>
      <c r="E4" s="30"/>
      <c r="F4" s="359"/>
      <c r="G4" s="359"/>
      <c r="H4" s="359"/>
      <c r="I4" s="359"/>
    </row>
    <row r="5" spans="1:9" ht="12.75">
      <c r="A5" s="26"/>
      <c r="B5" s="26"/>
      <c r="C5" s="26"/>
      <c r="D5" s="26"/>
      <c r="E5" s="26"/>
      <c r="F5" s="359"/>
      <c r="G5" s="359"/>
      <c r="H5" s="359"/>
      <c r="I5" s="359"/>
    </row>
    <row r="6" spans="1:9" ht="20.25" customHeight="1">
      <c r="A6" s="30"/>
      <c r="B6" s="30"/>
      <c r="C6" s="30"/>
      <c r="D6" s="30"/>
      <c r="E6" s="30"/>
      <c r="F6" s="359"/>
      <c r="G6" s="359"/>
      <c r="H6" s="359"/>
      <c r="I6" s="359"/>
    </row>
    <row r="7" spans="1:9" ht="12.75">
      <c r="A7" s="30"/>
      <c r="B7" s="30"/>
      <c r="C7" s="30"/>
      <c r="D7" s="30"/>
      <c r="E7" s="30"/>
      <c r="F7" s="29"/>
      <c r="G7" s="29"/>
      <c r="H7" s="29"/>
      <c r="I7" s="29"/>
    </row>
    <row r="8" spans="1:9" ht="12.75">
      <c r="A8" s="351"/>
      <c r="B8" s="351"/>
      <c r="C8" s="351"/>
      <c r="D8" s="351"/>
      <c r="E8" s="351"/>
      <c r="F8" s="351"/>
      <c r="G8" s="351"/>
      <c r="H8" s="351"/>
      <c r="I8" s="351"/>
    </row>
    <row r="9" spans="1:9" ht="15.75">
      <c r="A9" s="360" t="s">
        <v>44</v>
      </c>
      <c r="B9" s="360"/>
      <c r="C9" s="360"/>
      <c r="D9" s="360"/>
      <c r="E9" s="360"/>
      <c r="F9" s="360"/>
      <c r="G9" s="360"/>
      <c r="H9" s="360"/>
      <c r="I9" s="360"/>
    </row>
    <row r="10" spans="1:9" ht="19.5" customHeight="1">
      <c r="A10" s="360" t="s">
        <v>407</v>
      </c>
      <c r="B10" s="360"/>
      <c r="C10" s="360"/>
      <c r="D10" s="360"/>
      <c r="E10" s="360"/>
      <c r="F10" s="360"/>
      <c r="G10" s="360"/>
      <c r="H10" s="360"/>
      <c r="I10" s="360"/>
    </row>
    <row r="11" spans="1:9" ht="12.75">
      <c r="A11" s="361" t="s">
        <v>327</v>
      </c>
      <c r="B11" s="361"/>
      <c r="C11" s="361"/>
      <c r="D11" s="361"/>
      <c r="E11" s="361"/>
      <c r="F11" s="361"/>
      <c r="G11" s="361"/>
      <c r="H11" s="361"/>
      <c r="I11" s="361"/>
    </row>
    <row r="12" spans="1:9" ht="13.5" thickBot="1">
      <c r="A12" s="362" t="s">
        <v>255</v>
      </c>
      <c r="B12" s="362"/>
      <c r="C12" s="362"/>
      <c r="D12" s="362"/>
      <c r="E12" s="362"/>
      <c r="F12" s="362"/>
      <c r="G12" s="362"/>
      <c r="H12" s="362"/>
      <c r="I12" s="362"/>
    </row>
    <row r="13" spans="1:9" ht="91.5" thickBot="1">
      <c r="A13" s="236" t="s">
        <v>181</v>
      </c>
      <c r="B13" s="237" t="s">
        <v>182</v>
      </c>
      <c r="C13" s="237" t="s">
        <v>437</v>
      </c>
      <c r="D13" s="237" t="s">
        <v>183</v>
      </c>
      <c r="E13" s="237" t="s">
        <v>434</v>
      </c>
      <c r="F13" s="237" t="s">
        <v>435</v>
      </c>
      <c r="G13" s="237" t="s">
        <v>436</v>
      </c>
      <c r="H13" s="237" t="s">
        <v>184</v>
      </c>
      <c r="I13" s="238" t="s">
        <v>185</v>
      </c>
    </row>
    <row r="14" spans="1:9" ht="12.75">
      <c r="A14" s="231"/>
      <c r="B14" s="356" t="s">
        <v>408</v>
      </c>
      <c r="C14" s="357"/>
      <c r="D14" s="357"/>
      <c r="E14" s="357"/>
      <c r="F14" s="357"/>
      <c r="G14" s="357"/>
      <c r="H14" s="357"/>
      <c r="I14" s="358"/>
    </row>
    <row r="15" spans="1:9" ht="12.75">
      <c r="A15" s="188" t="s">
        <v>186</v>
      </c>
      <c r="B15" s="169">
        <f>SUM(B16:B20)</f>
        <v>47121.29</v>
      </c>
      <c r="C15" s="173">
        <f>D15/B15*1000</f>
        <v>164.31736058159697</v>
      </c>
      <c r="D15" s="171">
        <f>SUM(D16:D20)</f>
        <v>7742.846</v>
      </c>
      <c r="E15" s="173">
        <f>D15*7000/F15</f>
        <v>8378.356293978704</v>
      </c>
      <c r="F15" s="169">
        <v>6469.04</v>
      </c>
      <c r="G15" s="213">
        <f>H15*1000/F15</f>
        <v>9967.590901735031</v>
      </c>
      <c r="H15" s="169">
        <f>SUM(H16,H19,H20)</f>
        <v>64480.74424695999</v>
      </c>
      <c r="I15" s="205">
        <f>H15/D15*1000</f>
        <v>8327.783381841768</v>
      </c>
    </row>
    <row r="16" spans="1:9" ht="15">
      <c r="A16" s="188" t="s">
        <v>414</v>
      </c>
      <c r="B16" s="166">
        <v>26248.39</v>
      </c>
      <c r="C16" s="174">
        <f>C15</f>
        <v>164.31736058159697</v>
      </c>
      <c r="D16" s="175">
        <v>4367.003</v>
      </c>
      <c r="E16" s="174">
        <f>E15</f>
        <v>8378.356293978704</v>
      </c>
      <c r="F16" s="175">
        <v>3648.572</v>
      </c>
      <c r="G16" s="204">
        <f>H16/F16*1000</f>
        <v>6183.329999999999</v>
      </c>
      <c r="H16" s="204">
        <f>SUM(H17:H18)</f>
        <v>22560.324704759998</v>
      </c>
      <c r="I16" s="206">
        <f>H16/D16*1000</f>
        <v>5166.088666474468</v>
      </c>
    </row>
    <row r="17" spans="1:9" ht="12.75">
      <c r="A17" s="203" t="s">
        <v>413</v>
      </c>
      <c r="B17" s="166"/>
      <c r="C17" s="174"/>
      <c r="D17" s="175"/>
      <c r="E17" s="174"/>
      <c r="F17" s="175">
        <v>3429.48</v>
      </c>
      <c r="G17" s="164">
        <v>6183.33</v>
      </c>
      <c r="H17" s="164">
        <f>F17*G17/1000</f>
        <v>21205.6065684</v>
      </c>
      <c r="I17" s="206"/>
    </row>
    <row r="18" spans="1:9" ht="12.75">
      <c r="A18" s="203" t="s">
        <v>412</v>
      </c>
      <c r="B18" s="166"/>
      <c r="C18" s="174"/>
      <c r="D18" s="175"/>
      <c r="E18" s="174"/>
      <c r="F18" s="175">
        <v>219.092</v>
      </c>
      <c r="G18" s="164">
        <f>G17</f>
        <v>6183.33</v>
      </c>
      <c r="H18" s="164">
        <f>F18*G18/1000</f>
        <v>1354.71813636</v>
      </c>
      <c r="I18" s="206"/>
    </row>
    <row r="19" spans="1:9" ht="12.75">
      <c r="A19" s="188" t="s">
        <v>40</v>
      </c>
      <c r="B19" s="166">
        <v>17317.47</v>
      </c>
      <c r="C19" s="174">
        <f>C15</f>
        <v>164.31736058159697</v>
      </c>
      <c r="D19" s="166">
        <v>2793.535</v>
      </c>
      <c r="E19" s="174">
        <f>E16</f>
        <v>8378.356293978704</v>
      </c>
      <c r="F19" s="166">
        <v>2333.96</v>
      </c>
      <c r="G19" s="164">
        <v>13658.42</v>
      </c>
      <c r="H19" s="164">
        <f>F19*G19/1000</f>
        <v>31878.2059432</v>
      </c>
      <c r="I19" s="206">
        <f>H19/D19*1000</f>
        <v>11411.42170876685</v>
      </c>
    </row>
    <row r="20" spans="1:9" ht="13.5" thickBot="1">
      <c r="A20" s="192" t="s">
        <v>42</v>
      </c>
      <c r="B20" s="182">
        <v>3555.43</v>
      </c>
      <c r="C20" s="184">
        <f>C15</f>
        <v>164.31736058159697</v>
      </c>
      <c r="D20" s="182">
        <v>582.308</v>
      </c>
      <c r="E20" s="184">
        <f>E19</f>
        <v>8378.356293978704</v>
      </c>
      <c r="F20" s="182">
        <v>486.506</v>
      </c>
      <c r="G20" s="183">
        <v>20641.5</v>
      </c>
      <c r="H20" s="183">
        <f>F20*G20/1000</f>
        <v>10042.213598999999</v>
      </c>
      <c r="I20" s="207">
        <f>H20/D20*1000</f>
        <v>17245.53603762957</v>
      </c>
    </row>
    <row r="21" spans="1:9" ht="12.75">
      <c r="A21" s="194"/>
      <c r="B21" s="353" t="s">
        <v>409</v>
      </c>
      <c r="C21" s="354"/>
      <c r="D21" s="354"/>
      <c r="E21" s="354"/>
      <c r="F21" s="354"/>
      <c r="G21" s="354"/>
      <c r="H21" s="354"/>
      <c r="I21" s="355"/>
    </row>
    <row r="22" spans="1:9" ht="12.75">
      <c r="A22" s="188" t="s">
        <v>186</v>
      </c>
      <c r="B22" s="169">
        <f>SUM(B23:B25)</f>
        <v>47121.29</v>
      </c>
      <c r="C22" s="173">
        <f>D22/B22*1000</f>
        <v>164.31736058159697</v>
      </c>
      <c r="D22" s="171">
        <f>SUM(D23:D25)</f>
        <v>7742.846</v>
      </c>
      <c r="E22" s="173">
        <f>D22*7000/F22</f>
        <v>8378.356293978704</v>
      </c>
      <c r="F22" s="169">
        <v>6469.04</v>
      </c>
      <c r="G22" s="169">
        <v>136.58</v>
      </c>
      <c r="H22" s="169">
        <f>F22*G22/1000</f>
        <v>883.5414832000001</v>
      </c>
      <c r="I22" s="205">
        <f>H22/D22*1000</f>
        <v>114.11068787884973</v>
      </c>
    </row>
    <row r="23" spans="1:9" ht="12.75">
      <c r="A23" s="188" t="s">
        <v>38</v>
      </c>
      <c r="B23" s="166">
        <v>26248.39</v>
      </c>
      <c r="C23" s="174">
        <f>C22</f>
        <v>164.31736058159697</v>
      </c>
      <c r="D23" s="175">
        <v>4367.003</v>
      </c>
      <c r="E23" s="174">
        <f>E22</f>
        <v>8378.356293978704</v>
      </c>
      <c r="F23" s="175">
        <v>3648.572</v>
      </c>
      <c r="G23" s="164">
        <v>136.58</v>
      </c>
      <c r="H23" s="164">
        <f>F23*G23/1000</f>
        <v>498.3219637600001</v>
      </c>
      <c r="I23" s="206">
        <f>H23/D23*1000</f>
        <v>114.11074454494309</v>
      </c>
    </row>
    <row r="24" spans="1:9" ht="12.75">
      <c r="A24" s="188" t="s">
        <v>40</v>
      </c>
      <c r="B24" s="166">
        <v>17317.47</v>
      </c>
      <c r="C24" s="174">
        <f>C20</f>
        <v>164.31736058159697</v>
      </c>
      <c r="D24" s="166">
        <v>2793.535</v>
      </c>
      <c r="E24" s="174">
        <f>E22</f>
        <v>8378.356293978704</v>
      </c>
      <c r="F24" s="166">
        <v>2333.96</v>
      </c>
      <c r="G24" s="164">
        <v>136.58</v>
      </c>
      <c r="H24" s="164">
        <f>F24*G24/1000</f>
        <v>318.77225680000004</v>
      </c>
      <c r="I24" s="206">
        <f>H24/D24*1000</f>
        <v>114.11070804554087</v>
      </c>
    </row>
    <row r="25" spans="1:9" ht="13.5" thickBot="1">
      <c r="A25" s="192" t="s">
        <v>42</v>
      </c>
      <c r="B25" s="182">
        <v>3555.43</v>
      </c>
      <c r="C25" s="184">
        <f>C20</f>
        <v>164.31736058159697</v>
      </c>
      <c r="D25" s="182">
        <v>582.308</v>
      </c>
      <c r="E25" s="184">
        <f>E24</f>
        <v>8378.356293978704</v>
      </c>
      <c r="F25" s="182">
        <v>486.506</v>
      </c>
      <c r="G25" s="183">
        <v>136.58</v>
      </c>
      <c r="H25" s="183">
        <f>F25*G25/1000</f>
        <v>66.44698948</v>
      </c>
      <c r="I25" s="207">
        <f>H25/D25*1000</f>
        <v>114.10969706753127</v>
      </c>
    </row>
    <row r="26" spans="1:9" ht="29.25" customHeight="1">
      <c r="A26" s="194"/>
      <c r="B26" s="353" t="s">
        <v>416</v>
      </c>
      <c r="C26" s="354"/>
      <c r="D26" s="354"/>
      <c r="E26" s="354"/>
      <c r="F26" s="354"/>
      <c r="G26" s="354"/>
      <c r="H26" s="354"/>
      <c r="I26" s="355"/>
    </row>
    <row r="27" spans="1:9" ht="12.75">
      <c r="A27" s="188" t="s">
        <v>186</v>
      </c>
      <c r="B27" s="166" t="s">
        <v>372</v>
      </c>
      <c r="C27" s="166" t="s">
        <v>372</v>
      </c>
      <c r="D27" s="166" t="s">
        <v>372</v>
      </c>
      <c r="E27" s="166" t="s">
        <v>372</v>
      </c>
      <c r="F27" s="171">
        <f>SUM(F28:F30)</f>
        <v>6321.48</v>
      </c>
      <c r="G27" s="169">
        <v>11.6</v>
      </c>
      <c r="H27" s="169">
        <f>F27*G27/1000</f>
        <v>73.329168</v>
      </c>
      <c r="I27" s="166" t="s">
        <v>372</v>
      </c>
    </row>
    <row r="28" spans="1:9" ht="12.75">
      <c r="A28" s="188" t="s">
        <v>38</v>
      </c>
      <c r="B28" s="166" t="s">
        <v>372</v>
      </c>
      <c r="C28" s="166" t="s">
        <v>372</v>
      </c>
      <c r="D28" s="166" t="s">
        <v>372</v>
      </c>
      <c r="E28" s="166" t="s">
        <v>372</v>
      </c>
      <c r="F28" s="175">
        <v>3648.572</v>
      </c>
      <c r="G28" s="169">
        <v>11.6</v>
      </c>
      <c r="H28" s="164">
        <f>F28*G28/1000</f>
        <v>42.3234352</v>
      </c>
      <c r="I28" s="166" t="s">
        <v>372</v>
      </c>
    </row>
    <row r="29" spans="1:9" ht="12.75">
      <c r="A29" s="188" t="s">
        <v>40</v>
      </c>
      <c r="B29" s="166" t="s">
        <v>372</v>
      </c>
      <c r="C29" s="166" t="s">
        <v>372</v>
      </c>
      <c r="D29" s="166" t="s">
        <v>372</v>
      </c>
      <c r="E29" s="166" t="s">
        <v>372</v>
      </c>
      <c r="F29" s="166">
        <v>2186.909</v>
      </c>
      <c r="G29" s="169">
        <v>11.6</v>
      </c>
      <c r="H29" s="164">
        <f>F29*G29/1000</f>
        <v>25.368144400000002</v>
      </c>
      <c r="I29" s="166" t="s">
        <v>372</v>
      </c>
    </row>
    <row r="30" spans="1:9" ht="13.5" thickBot="1">
      <c r="A30" s="192" t="s">
        <v>42</v>
      </c>
      <c r="B30" s="182" t="s">
        <v>372</v>
      </c>
      <c r="C30" s="182" t="s">
        <v>372</v>
      </c>
      <c r="D30" s="182" t="s">
        <v>372</v>
      </c>
      <c r="E30" s="182" t="s">
        <v>372</v>
      </c>
      <c r="F30" s="182">
        <v>485.999</v>
      </c>
      <c r="G30" s="169">
        <v>11.6</v>
      </c>
      <c r="H30" s="183">
        <f>F30*G30/1000</f>
        <v>5.6375884</v>
      </c>
      <c r="I30" s="182" t="s">
        <v>372</v>
      </c>
    </row>
    <row r="31" spans="1:9" ht="12.75">
      <c r="A31" s="194"/>
      <c r="B31" s="353" t="s">
        <v>410</v>
      </c>
      <c r="C31" s="354"/>
      <c r="D31" s="354"/>
      <c r="E31" s="354"/>
      <c r="F31" s="354"/>
      <c r="G31" s="354"/>
      <c r="H31" s="354"/>
      <c r="I31" s="355"/>
    </row>
    <row r="32" spans="1:9" ht="12.75">
      <c r="A32" s="188" t="s">
        <v>186</v>
      </c>
      <c r="B32" s="166" t="s">
        <v>372</v>
      </c>
      <c r="C32" s="166" t="s">
        <v>372</v>
      </c>
      <c r="D32" s="166" t="s">
        <v>372</v>
      </c>
      <c r="E32" s="166" t="s">
        <v>372</v>
      </c>
      <c r="F32" s="172">
        <v>5546.92273</v>
      </c>
      <c r="G32" s="169">
        <v>1.79</v>
      </c>
      <c r="H32" s="169">
        <f>F32*G32</f>
        <v>9928.991686700001</v>
      </c>
      <c r="I32" s="195" t="s">
        <v>372</v>
      </c>
    </row>
    <row r="33" spans="1:9" ht="12.75">
      <c r="A33" s="188" t="s">
        <v>38</v>
      </c>
      <c r="B33" s="166" t="s">
        <v>372</v>
      </c>
      <c r="C33" s="166" t="s">
        <v>372</v>
      </c>
      <c r="D33" s="166" t="s">
        <v>372</v>
      </c>
      <c r="E33" s="166" t="s">
        <v>372</v>
      </c>
      <c r="F33" s="166">
        <v>3089.636</v>
      </c>
      <c r="G33" s="164">
        <v>1.79</v>
      </c>
      <c r="H33" s="164">
        <f>F33*G33</f>
        <v>5530.44844</v>
      </c>
      <c r="I33" s="195" t="s">
        <v>372</v>
      </c>
    </row>
    <row r="34" spans="1:9" ht="12.75">
      <c r="A34" s="188" t="s">
        <v>40</v>
      </c>
      <c r="B34" s="166" t="s">
        <v>372</v>
      </c>
      <c r="C34" s="166" t="s">
        <v>372</v>
      </c>
      <c r="D34" s="166" t="s">
        <v>372</v>
      </c>
      <c r="E34" s="166" t="s">
        <v>372</v>
      </c>
      <c r="F34" s="166">
        <v>2038.494</v>
      </c>
      <c r="G34" s="164">
        <v>1.79</v>
      </c>
      <c r="H34" s="164">
        <f>F34*G34</f>
        <v>3648.90426</v>
      </c>
      <c r="I34" s="195" t="s">
        <v>372</v>
      </c>
    </row>
    <row r="35" spans="1:9" ht="13.5" thickBot="1">
      <c r="A35" s="192" t="s">
        <v>42</v>
      </c>
      <c r="B35" s="182" t="s">
        <v>372</v>
      </c>
      <c r="C35" s="182" t="s">
        <v>372</v>
      </c>
      <c r="D35" s="182" t="s">
        <v>372</v>
      </c>
      <c r="E35" s="182" t="s">
        <v>372</v>
      </c>
      <c r="F35" s="182">
        <v>418.793</v>
      </c>
      <c r="G35" s="183">
        <v>1.79</v>
      </c>
      <c r="H35" s="183">
        <f>F35*G35</f>
        <v>749.6394700000001</v>
      </c>
      <c r="I35" s="196" t="s">
        <v>372</v>
      </c>
    </row>
    <row r="36" spans="1:9" ht="12.75">
      <c r="A36" s="197" t="s">
        <v>411</v>
      </c>
      <c r="B36" s="229">
        <f>SUM(B37:B41)</f>
        <v>47121.29</v>
      </c>
      <c r="C36" s="230">
        <f>D36/B36*1000</f>
        <v>164.31736058159697</v>
      </c>
      <c r="D36" s="229">
        <f>SUM(D37:D41)</f>
        <v>7742.846</v>
      </c>
      <c r="E36" s="230">
        <f>D36*7000/F36</f>
        <v>8378.356293978704</v>
      </c>
      <c r="F36" s="229">
        <v>6469.04</v>
      </c>
      <c r="G36" s="181" t="s">
        <v>372</v>
      </c>
      <c r="H36" s="209">
        <f>SUM(H15,H22,H27,H32)</f>
        <v>75366.60658486</v>
      </c>
      <c r="I36" s="232">
        <f>H36/D36*1000</f>
        <v>9733.708585300548</v>
      </c>
    </row>
    <row r="37" spans="1:9" ht="12.75">
      <c r="A37" s="188" t="s">
        <v>38</v>
      </c>
      <c r="B37" s="166">
        <v>26248.39</v>
      </c>
      <c r="C37" s="174">
        <f>C15</f>
        <v>164.31736058159697</v>
      </c>
      <c r="D37" s="175">
        <v>4367.003</v>
      </c>
      <c r="E37" s="174">
        <f>E36</f>
        <v>8378.356293978704</v>
      </c>
      <c r="F37" s="175">
        <v>3648.572</v>
      </c>
      <c r="G37" s="166" t="s">
        <v>372</v>
      </c>
      <c r="H37" s="176">
        <f>SUM(H16,H23,H28,H33)</f>
        <v>28631.41854372</v>
      </c>
      <c r="I37" s="205">
        <f>H37/D37*1000</f>
        <v>6556.308421065889</v>
      </c>
    </row>
    <row r="38" spans="1:9" ht="12.75">
      <c r="A38" s="188" t="s">
        <v>40</v>
      </c>
      <c r="B38" s="166">
        <v>17317.47</v>
      </c>
      <c r="C38" s="174">
        <f>C15</f>
        <v>164.31736058159697</v>
      </c>
      <c r="D38" s="166">
        <v>2793.535</v>
      </c>
      <c r="E38" s="174">
        <f>E36</f>
        <v>8378.356293978704</v>
      </c>
      <c r="F38" s="166">
        <v>2333.96</v>
      </c>
      <c r="G38" s="166" t="s">
        <v>372</v>
      </c>
      <c r="H38" s="176">
        <f>SUM(H19,H24,H29,H34)</f>
        <v>35871.2506044</v>
      </c>
      <c r="I38" s="205">
        <f>H38/D38*1000</f>
        <v>12840.809441943631</v>
      </c>
    </row>
    <row r="39" spans="1:9" ht="13.5" thickBot="1">
      <c r="A39" s="192" t="s">
        <v>42</v>
      </c>
      <c r="B39" s="182">
        <v>3555.43</v>
      </c>
      <c r="C39" s="184">
        <f>C15</f>
        <v>164.31736058159697</v>
      </c>
      <c r="D39" s="182">
        <v>582.308</v>
      </c>
      <c r="E39" s="184">
        <f>E38</f>
        <v>8378.356293978704</v>
      </c>
      <c r="F39" s="182">
        <v>486.506</v>
      </c>
      <c r="G39" s="182" t="s">
        <v>372</v>
      </c>
      <c r="H39" s="182">
        <f>SUM(H20,H25,H30,H35)</f>
        <v>10863.93764688</v>
      </c>
      <c r="I39" s="242">
        <f>H39/D39*1000</f>
        <v>18656.686232852717</v>
      </c>
    </row>
    <row r="40" spans="1:9" ht="12.75">
      <c r="A40" s="198" t="s">
        <v>187</v>
      </c>
      <c r="B40" s="176" t="s">
        <v>372</v>
      </c>
      <c r="C40" s="176" t="s">
        <v>372</v>
      </c>
      <c r="D40" s="177" t="s">
        <v>372</v>
      </c>
      <c r="E40" s="177" t="s">
        <v>372</v>
      </c>
      <c r="F40" s="178" t="s">
        <v>372</v>
      </c>
      <c r="G40" s="178" t="s">
        <v>372</v>
      </c>
      <c r="H40" s="178" t="s">
        <v>372</v>
      </c>
      <c r="I40" s="199" t="s">
        <v>372</v>
      </c>
    </row>
    <row r="41" spans="1:9" ht="12.75">
      <c r="A41" s="188" t="s">
        <v>38</v>
      </c>
      <c r="B41" s="166" t="s">
        <v>372</v>
      </c>
      <c r="C41" s="166" t="s">
        <v>372</v>
      </c>
      <c r="D41" s="165" t="s">
        <v>372</v>
      </c>
      <c r="E41" s="165" t="s">
        <v>372</v>
      </c>
      <c r="F41" s="167" t="s">
        <v>372</v>
      </c>
      <c r="G41" s="167" t="s">
        <v>372</v>
      </c>
      <c r="H41" s="167" t="s">
        <v>372</v>
      </c>
      <c r="I41" s="200" t="s">
        <v>372</v>
      </c>
    </row>
    <row r="42" spans="1:9" ht="12.75">
      <c r="A42" s="188" t="s">
        <v>40</v>
      </c>
      <c r="B42" s="166" t="s">
        <v>372</v>
      </c>
      <c r="C42" s="166" t="s">
        <v>372</v>
      </c>
      <c r="D42" s="165" t="s">
        <v>372</v>
      </c>
      <c r="E42" s="165" t="s">
        <v>372</v>
      </c>
      <c r="F42" s="167" t="s">
        <v>372</v>
      </c>
      <c r="G42" s="167" t="s">
        <v>372</v>
      </c>
      <c r="H42" s="167" t="s">
        <v>372</v>
      </c>
      <c r="I42" s="200" t="s">
        <v>372</v>
      </c>
    </row>
    <row r="43" spans="1:9" ht="13.5" thickBot="1">
      <c r="A43" s="192" t="s">
        <v>42</v>
      </c>
      <c r="B43" s="182" t="s">
        <v>372</v>
      </c>
      <c r="C43" s="182" t="s">
        <v>372</v>
      </c>
      <c r="D43" s="185" t="s">
        <v>372</v>
      </c>
      <c r="E43" s="185" t="s">
        <v>372</v>
      </c>
      <c r="F43" s="186" t="s">
        <v>372</v>
      </c>
      <c r="G43" s="186" t="s">
        <v>372</v>
      </c>
      <c r="H43" s="186" t="s">
        <v>372</v>
      </c>
      <c r="I43" s="201" t="s">
        <v>372</v>
      </c>
    </row>
    <row r="44" spans="1:9" ht="12.75">
      <c r="A44" s="198" t="s">
        <v>188</v>
      </c>
      <c r="B44" s="176" t="s">
        <v>372</v>
      </c>
      <c r="C44" s="176" t="s">
        <v>372</v>
      </c>
      <c r="D44" s="177" t="s">
        <v>372</v>
      </c>
      <c r="E44" s="177" t="s">
        <v>372</v>
      </c>
      <c r="F44" s="178" t="s">
        <v>372</v>
      </c>
      <c r="G44" s="178" t="s">
        <v>372</v>
      </c>
      <c r="H44" s="178" t="s">
        <v>372</v>
      </c>
      <c r="I44" s="199" t="s">
        <v>372</v>
      </c>
    </row>
    <row r="45" spans="1:9" ht="12.75">
      <c r="A45" s="188" t="s">
        <v>38</v>
      </c>
      <c r="B45" s="166" t="s">
        <v>372</v>
      </c>
      <c r="C45" s="166" t="s">
        <v>372</v>
      </c>
      <c r="D45" s="165" t="s">
        <v>372</v>
      </c>
      <c r="E45" s="165" t="s">
        <v>372</v>
      </c>
      <c r="F45" s="167" t="s">
        <v>372</v>
      </c>
      <c r="G45" s="167" t="s">
        <v>372</v>
      </c>
      <c r="H45" s="167" t="s">
        <v>372</v>
      </c>
      <c r="I45" s="200" t="s">
        <v>372</v>
      </c>
    </row>
    <row r="46" spans="1:9" ht="12.75">
      <c r="A46" s="188" t="s">
        <v>40</v>
      </c>
      <c r="B46" s="166" t="s">
        <v>372</v>
      </c>
      <c r="C46" s="166" t="s">
        <v>372</v>
      </c>
      <c r="D46" s="165" t="s">
        <v>372</v>
      </c>
      <c r="E46" s="165" t="s">
        <v>372</v>
      </c>
      <c r="F46" s="167" t="s">
        <v>372</v>
      </c>
      <c r="G46" s="167" t="s">
        <v>372</v>
      </c>
      <c r="H46" s="167" t="s">
        <v>372</v>
      </c>
      <c r="I46" s="200" t="s">
        <v>372</v>
      </c>
    </row>
    <row r="47" spans="1:9" ht="13.5" thickBot="1">
      <c r="A47" s="192" t="s">
        <v>42</v>
      </c>
      <c r="B47" s="182" t="s">
        <v>372</v>
      </c>
      <c r="C47" s="182" t="s">
        <v>372</v>
      </c>
      <c r="D47" s="185" t="s">
        <v>372</v>
      </c>
      <c r="E47" s="185" t="s">
        <v>372</v>
      </c>
      <c r="F47" s="186" t="s">
        <v>372</v>
      </c>
      <c r="G47" s="186" t="s">
        <v>372</v>
      </c>
      <c r="H47" s="186" t="s">
        <v>372</v>
      </c>
      <c r="I47" s="201" t="s">
        <v>372</v>
      </c>
    </row>
    <row r="48" spans="1:9" ht="12.75">
      <c r="A48" s="194" t="s">
        <v>189</v>
      </c>
      <c r="B48" s="209">
        <f>SUM(B49:B53)</f>
        <v>2235.4880000000003</v>
      </c>
      <c r="C48" s="180">
        <f>D48/B48*1000</f>
        <v>179.45209278689933</v>
      </c>
      <c r="D48" s="209">
        <f>SUM(D49:D53)</f>
        <v>401.16300000000007</v>
      </c>
      <c r="E48" s="211">
        <f>D48*7000/F48</f>
        <v>3943.420099198437</v>
      </c>
      <c r="F48" s="209">
        <f>F49+F50+F53</f>
        <v>712.108</v>
      </c>
      <c r="G48" s="209">
        <v>0</v>
      </c>
      <c r="H48" s="209">
        <f>H49+H51+H52+H53</f>
        <v>1540.1854113400002</v>
      </c>
      <c r="I48" s="212">
        <f>H48/D48*1000</f>
        <v>3839.300761386269</v>
      </c>
    </row>
    <row r="49" spans="1:9" ht="12.75">
      <c r="A49" s="188" t="s">
        <v>38</v>
      </c>
      <c r="B49" s="167">
        <v>1391.41</v>
      </c>
      <c r="C49" s="174">
        <f>C48</f>
        <v>179.45209278689933</v>
      </c>
      <c r="D49" s="166">
        <v>251.418</v>
      </c>
      <c r="E49" s="166">
        <f>E48</f>
        <v>3943.420099198437</v>
      </c>
      <c r="F49" s="167">
        <v>466.453</v>
      </c>
      <c r="G49" s="167">
        <v>1750</v>
      </c>
      <c r="H49" s="167">
        <f>F49*G49/1000</f>
        <v>816.29275</v>
      </c>
      <c r="I49" s="189">
        <f>H49/D49*1000</f>
        <v>3246.755403352186</v>
      </c>
    </row>
    <row r="50" spans="1:9" ht="12.75">
      <c r="A50" s="188" t="s">
        <v>440</v>
      </c>
      <c r="B50" s="167">
        <v>816.211</v>
      </c>
      <c r="C50" s="174">
        <f>C49</f>
        <v>179.45209278689933</v>
      </c>
      <c r="D50" s="166">
        <v>144.71</v>
      </c>
      <c r="E50" s="166">
        <f>E49</f>
        <v>3943.420099198437</v>
      </c>
      <c r="F50" s="167">
        <v>236.313</v>
      </c>
      <c r="G50" s="167">
        <v>0</v>
      </c>
      <c r="H50" s="167">
        <f>F50*G50</f>
        <v>0</v>
      </c>
      <c r="I50" s="189">
        <f>H50/D50*1000</f>
        <v>0</v>
      </c>
    </row>
    <row r="51" spans="1:9" ht="25.5">
      <c r="A51" s="250" t="s">
        <v>441</v>
      </c>
      <c r="B51" s="246"/>
      <c r="C51" s="247"/>
      <c r="D51" s="248"/>
      <c r="E51" s="248"/>
      <c r="F51" s="246">
        <v>201.598</v>
      </c>
      <c r="G51" s="246">
        <v>3208.33</v>
      </c>
      <c r="H51" s="246">
        <f>F51*G51/1000</f>
        <v>646.79291134</v>
      </c>
      <c r="I51" s="189"/>
    </row>
    <row r="52" spans="1:9" ht="25.5">
      <c r="A52" s="250" t="s">
        <v>442</v>
      </c>
      <c r="B52" s="246"/>
      <c r="C52" s="247"/>
      <c r="D52" s="248"/>
      <c r="E52" s="248"/>
      <c r="F52" s="246">
        <f>F50-F51</f>
        <v>34.714999999999975</v>
      </c>
      <c r="G52" s="246">
        <v>1750</v>
      </c>
      <c r="H52" s="246">
        <f>F52*G52/1000</f>
        <v>60.751249999999956</v>
      </c>
      <c r="I52" s="189"/>
    </row>
    <row r="53" spans="1:9" ht="13.5" thickBot="1">
      <c r="A53" s="192" t="s">
        <v>42</v>
      </c>
      <c r="B53" s="186">
        <v>27.867</v>
      </c>
      <c r="C53" s="184">
        <f>C50</f>
        <v>179.45209278689933</v>
      </c>
      <c r="D53" s="182">
        <v>5.035</v>
      </c>
      <c r="E53" s="182">
        <f>E50</f>
        <v>3943.420099198437</v>
      </c>
      <c r="F53" s="186">
        <v>9.342</v>
      </c>
      <c r="G53" s="186">
        <v>1750</v>
      </c>
      <c r="H53" s="186">
        <f>F53*G53/1000</f>
        <v>16.3485</v>
      </c>
      <c r="I53" s="189">
        <f>H53/D53*1000</f>
        <v>3246.9712015888776</v>
      </c>
    </row>
    <row r="54" spans="1:9" ht="25.5" customHeight="1">
      <c r="A54" s="208" t="s">
        <v>190</v>
      </c>
      <c r="B54" s="209">
        <f>SUM(B55:B57)</f>
        <v>49356.78</v>
      </c>
      <c r="C54" s="180">
        <f>D54/B54*1000</f>
        <v>165.0028425679309</v>
      </c>
      <c r="D54" s="209">
        <f>SUM(D15,D48)</f>
        <v>8144.009</v>
      </c>
      <c r="E54" s="181" t="s">
        <v>372</v>
      </c>
      <c r="F54" s="181" t="s">
        <v>372</v>
      </c>
      <c r="G54" s="181" t="s">
        <v>372</v>
      </c>
      <c r="H54" s="181">
        <f>H36+H48</f>
        <v>76906.7919962</v>
      </c>
      <c r="I54" s="210">
        <f>H54/D54*1000</f>
        <v>9443.35793295415</v>
      </c>
    </row>
    <row r="55" spans="1:9" ht="12.75">
      <c r="A55" s="188" t="s">
        <v>38</v>
      </c>
      <c r="B55" s="167">
        <v>27639.8</v>
      </c>
      <c r="C55" s="174">
        <f>D55/B55*1000</f>
        <v>167.09314105022466</v>
      </c>
      <c r="D55" s="166">
        <f>SUM(D16,D49)</f>
        <v>4618.420999999999</v>
      </c>
      <c r="E55" s="166" t="s">
        <v>372</v>
      </c>
      <c r="F55" s="167" t="s">
        <v>372</v>
      </c>
      <c r="G55" s="167" t="s">
        <v>372</v>
      </c>
      <c r="H55" s="167">
        <f>H16+H23+H28+H33+H49</f>
        <v>29447.71129372</v>
      </c>
      <c r="I55" s="210">
        <f>H55/D55*1000</f>
        <v>6376.142688966641</v>
      </c>
    </row>
    <row r="56" spans="1:9" ht="12.75">
      <c r="A56" s="188" t="s">
        <v>40</v>
      </c>
      <c r="B56" s="167">
        <v>18133.68</v>
      </c>
      <c r="C56" s="174">
        <f>D56/B56*1000</f>
        <v>162.03247217332608</v>
      </c>
      <c r="D56" s="166">
        <f>SUM(D50,D19)</f>
        <v>2938.245</v>
      </c>
      <c r="E56" s="166" t="s">
        <v>372</v>
      </c>
      <c r="F56" s="167" t="s">
        <v>372</v>
      </c>
      <c r="G56" s="167" t="s">
        <v>372</v>
      </c>
      <c r="H56" s="167">
        <f>H38+H51+H52</f>
        <v>36578.79476574</v>
      </c>
      <c r="I56" s="210">
        <f>H56/D56*1000</f>
        <v>12449.198336333424</v>
      </c>
    </row>
    <row r="57" spans="1:9" ht="13.5" thickBot="1">
      <c r="A57" s="192" t="s">
        <v>42</v>
      </c>
      <c r="B57" s="186">
        <v>3583.3</v>
      </c>
      <c r="C57" s="184">
        <f>D57/B57*1000</f>
        <v>163.9103619568554</v>
      </c>
      <c r="D57" s="182">
        <v>587.34</v>
      </c>
      <c r="E57" s="182" t="s">
        <v>372</v>
      </c>
      <c r="F57" s="186" t="s">
        <v>372</v>
      </c>
      <c r="G57" s="167" t="s">
        <v>372</v>
      </c>
      <c r="H57" s="186">
        <f>H39+H53</f>
        <v>10880.28614688</v>
      </c>
      <c r="I57" s="210">
        <f>H57/D57*1000</f>
        <v>18524.68101419961</v>
      </c>
    </row>
    <row r="58" spans="1:11" ht="12.75">
      <c r="A58" s="351"/>
      <c r="B58" s="351"/>
      <c r="C58" s="351"/>
      <c r="D58" s="351"/>
      <c r="E58" s="351"/>
      <c r="F58" s="351"/>
      <c r="G58" s="351"/>
      <c r="H58" s="351"/>
      <c r="I58" s="351"/>
      <c r="K58" s="111"/>
    </row>
    <row r="59" spans="1:9" ht="15">
      <c r="A59" s="350" t="s">
        <v>512</v>
      </c>
      <c r="B59" s="350"/>
      <c r="C59" s="350"/>
      <c r="D59" s="350"/>
      <c r="E59" s="350"/>
      <c r="F59" s="350"/>
      <c r="G59" s="350"/>
      <c r="H59" s="350"/>
      <c r="I59" s="350"/>
    </row>
    <row r="60" spans="1:9" ht="12.75">
      <c r="A60" s="351"/>
      <c r="B60" s="351"/>
      <c r="C60" s="351"/>
      <c r="D60" s="351"/>
      <c r="E60" s="351"/>
      <c r="F60" s="351"/>
      <c r="G60" s="351"/>
      <c r="H60" s="351"/>
      <c r="I60" s="351"/>
    </row>
    <row r="61" spans="1:9" ht="12.75">
      <c r="A61" s="352" t="s">
        <v>515</v>
      </c>
      <c r="B61" s="352"/>
      <c r="C61" s="352"/>
      <c r="D61" s="352"/>
      <c r="E61" s="352"/>
      <c r="F61" s="352"/>
      <c r="G61" s="352"/>
      <c r="H61" s="352"/>
      <c r="I61" s="352"/>
    </row>
  </sheetData>
  <sheetProtection/>
  <mergeCells count="14">
    <mergeCell ref="A11:I11"/>
    <mergeCell ref="A12:I12"/>
    <mergeCell ref="F2:I6"/>
    <mergeCell ref="A8:I8"/>
    <mergeCell ref="A9:I9"/>
    <mergeCell ref="A10:I10"/>
    <mergeCell ref="B14:I14"/>
    <mergeCell ref="B21:I21"/>
    <mergeCell ref="B31:I31"/>
    <mergeCell ref="A58:I58"/>
    <mergeCell ref="A59:I59"/>
    <mergeCell ref="A60:I60"/>
    <mergeCell ref="A61:I61"/>
    <mergeCell ref="B26:I26"/>
  </mergeCells>
  <printOptions/>
  <pageMargins left="0.44" right="0.2" top="0.53" bottom="0.4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R-525</cp:lastModifiedBy>
  <cp:lastPrinted>2021-10-26T11:20:09Z</cp:lastPrinted>
  <dcterms:created xsi:type="dcterms:W3CDTF">1996-10-08T23:32:33Z</dcterms:created>
  <dcterms:modified xsi:type="dcterms:W3CDTF">2021-10-28T06:30:47Z</dcterms:modified>
  <cp:category/>
  <cp:version/>
  <cp:contentType/>
  <cp:contentStatus/>
</cp:coreProperties>
</file>